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 codeName="{B6124F1A-AFFB-F854-7757-9A1D4C6FC43C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Hamblet\2021\11_Trimestral y CuentaPublica2021\02_Cuenta_Publica_2021\Abiertos_Excel\"/>
    </mc:Choice>
  </mc:AlternateContent>
  <xr:revisionPtr revIDLastSave="0" documentId="13_ncr:1_{8B85BE7F-E187-4C51-94B6-B5D578289C79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08" yWindow="-108" windowWidth="23256" windowHeight="12576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b)'!$A$69</definedName>
    <definedName name="GASTO_E_FIN">'Formato 6 b)'!$A$85</definedName>
    <definedName name="GASTO_E_FIN_01">'Formato 6 b)'!$B$85</definedName>
    <definedName name="GASTO_E_FIN_02">'Formato 6 b)'!$C$85</definedName>
    <definedName name="GASTO_E_FIN_03">'Formato 6 b)'!$D$85</definedName>
    <definedName name="GASTO_E_FIN_04">'Formato 6 b)'!$E$85</definedName>
    <definedName name="GASTO_E_FIN_05">'Formato 6 b)'!$F$85</definedName>
    <definedName name="GASTO_E_FIN_06">'Formato 6 b)'!$G$85</definedName>
    <definedName name="GASTO_E_T1">'Formato 6 b)'!$B$69</definedName>
    <definedName name="GASTO_E_T2">'Formato 6 b)'!$C$69</definedName>
    <definedName name="GASTO_E_T3">'Formato 6 b)'!$D$69</definedName>
    <definedName name="GASTO_E_T4">'Formato 6 b)'!$E$69</definedName>
    <definedName name="GASTO_E_T5">'Formato 6 b)'!$F$69</definedName>
    <definedName name="GASTO_E_T6">'Formato 6 b)'!$G$69</definedName>
    <definedName name="GASTO_NE">'Formato 6 b)'!$A$9</definedName>
    <definedName name="GASTO_NE_FIN">'Formato 6 b)'!$A$68</definedName>
    <definedName name="GASTO_NE_FIN_01">'Formato 6 b)'!$B$68</definedName>
    <definedName name="GASTO_NE_FIN_02">'Formato 6 b)'!$C$68</definedName>
    <definedName name="GASTO_NE_FIN_03">'Formato 6 b)'!$D$68</definedName>
    <definedName name="GASTO_NE_FIN_04">'Formato 6 b)'!$E$68</definedName>
    <definedName name="GASTO_NE_FIN_05">'Formato 6 b)'!$F$68</definedName>
    <definedName name="GASTO_NE_FIN_06">'Formato 6 b)'!$G$68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b)'!$B$86</definedName>
    <definedName name="TOTAL_E_T2">'Formato 6 b)'!$C$86</definedName>
    <definedName name="TOTAL_E_T3">'Formato 6 b)'!$D$86</definedName>
    <definedName name="TOTAL_E_T4">'Formato 6 b)'!$E$86</definedName>
    <definedName name="TOTAL_E_T5">'Formato 6 b)'!$F$86</definedName>
    <definedName name="TOTAL_E_T6">'Formato 6 b)'!$G$86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2" l="1"/>
  <c r="G68" i="5" l="1"/>
  <c r="G67" i="5"/>
  <c r="G13" i="5"/>
  <c r="E13" i="5"/>
  <c r="F13" i="5"/>
  <c r="G74" i="5" l="1"/>
  <c r="G73" i="5"/>
  <c r="C75" i="5"/>
  <c r="F67" i="5" l="1"/>
  <c r="E67" i="5"/>
  <c r="D67" i="5"/>
  <c r="C67" i="5"/>
  <c r="B67" i="5"/>
  <c r="G21" i="12" l="1"/>
  <c r="D28" i="11" l="1"/>
  <c r="E28" i="11" s="1"/>
  <c r="D27" i="11"/>
  <c r="E27" i="11" s="1"/>
  <c r="D24" i="11"/>
  <c r="E24" i="11" s="1"/>
  <c r="D23" i="11"/>
  <c r="E23" i="11" s="1"/>
  <c r="D20" i="11"/>
  <c r="E20" i="11" s="1"/>
  <c r="D10" i="11"/>
  <c r="E10" i="11" s="1"/>
  <c r="D13" i="11"/>
  <c r="E13" i="11" s="1"/>
  <c r="D14" i="11"/>
  <c r="E14" i="11" s="1"/>
  <c r="D17" i="11"/>
  <c r="E17" i="11" s="1"/>
  <c r="D9" i="11"/>
  <c r="E9" i="11" s="1"/>
  <c r="C28" i="11"/>
  <c r="C27" i="11"/>
  <c r="C26" i="11"/>
  <c r="D26" i="11" s="1"/>
  <c r="E26" i="11" s="1"/>
  <c r="C25" i="11"/>
  <c r="D25" i="11" s="1"/>
  <c r="E25" i="11" s="1"/>
  <c r="C24" i="11"/>
  <c r="C23" i="11"/>
  <c r="C22" i="11"/>
  <c r="D22" i="11" s="1"/>
  <c r="E22" i="11" s="1"/>
  <c r="C21" i="11"/>
  <c r="D21" i="11" s="1"/>
  <c r="E21" i="11" s="1"/>
  <c r="C20" i="11"/>
  <c r="C10" i="11"/>
  <c r="C11" i="11"/>
  <c r="D11" i="11" s="1"/>
  <c r="E11" i="11" s="1"/>
  <c r="C12" i="11"/>
  <c r="D12" i="11" s="1"/>
  <c r="E12" i="11" s="1"/>
  <c r="C13" i="11"/>
  <c r="C14" i="11"/>
  <c r="C15" i="11"/>
  <c r="D15" i="11" s="1"/>
  <c r="E15" i="11" s="1"/>
  <c r="C16" i="11"/>
  <c r="D16" i="11" s="1"/>
  <c r="E16" i="11" s="1"/>
  <c r="C17" i="11"/>
  <c r="C9" i="11"/>
  <c r="D26" i="10"/>
  <c r="E26" i="10" s="1"/>
  <c r="D25" i="10"/>
  <c r="E25" i="10" s="1"/>
  <c r="D10" i="10"/>
  <c r="E10" i="10" s="1"/>
  <c r="D11" i="10"/>
  <c r="E11" i="10" s="1"/>
  <c r="D14" i="10"/>
  <c r="E14" i="10" s="1"/>
  <c r="D15" i="10"/>
  <c r="E15" i="10" s="1"/>
  <c r="D18" i="10"/>
  <c r="E18" i="10" s="1"/>
  <c r="D19" i="10"/>
  <c r="E19" i="10" s="1"/>
  <c r="C30" i="10"/>
  <c r="D30" i="10" s="1"/>
  <c r="E30" i="10" s="1"/>
  <c r="C27" i="10"/>
  <c r="D27" i="10" s="1"/>
  <c r="E27" i="10" s="1"/>
  <c r="C26" i="10"/>
  <c r="C25" i="10"/>
  <c r="C24" i="10"/>
  <c r="D24" i="10" s="1"/>
  <c r="E24" i="10" s="1"/>
  <c r="C23" i="10"/>
  <c r="D23" i="10" s="1"/>
  <c r="E23" i="10" s="1"/>
  <c r="C10" i="10"/>
  <c r="C11" i="10"/>
  <c r="C12" i="10"/>
  <c r="D12" i="10" s="1"/>
  <c r="E12" i="10" s="1"/>
  <c r="C13" i="10"/>
  <c r="D13" i="10" s="1"/>
  <c r="E13" i="10" s="1"/>
  <c r="C14" i="10"/>
  <c r="C15" i="10"/>
  <c r="C16" i="10"/>
  <c r="D16" i="10" s="1"/>
  <c r="E16" i="10" s="1"/>
  <c r="C17" i="10"/>
  <c r="D17" i="10" s="1"/>
  <c r="E17" i="10" s="1"/>
  <c r="C18" i="10"/>
  <c r="C19" i="10"/>
  <c r="C20" i="10"/>
  <c r="D20" i="10" s="1"/>
  <c r="E20" i="10" s="1"/>
  <c r="C9" i="10"/>
  <c r="D9" i="10" s="1"/>
  <c r="E9" i="10" s="1"/>
  <c r="B37" i="10"/>
  <c r="B29" i="10"/>
  <c r="B22" i="10"/>
  <c r="B9" i="1" l="1"/>
  <c r="C9" i="1"/>
  <c r="B17" i="1"/>
  <c r="C17" i="1"/>
  <c r="B25" i="1"/>
  <c r="C25" i="1"/>
  <c r="B31" i="1"/>
  <c r="C31" i="1"/>
  <c r="B38" i="1"/>
  <c r="C38" i="1"/>
  <c r="B41" i="1"/>
  <c r="C41" i="1"/>
  <c r="G71" i="7" l="1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0" i="7"/>
  <c r="D31" i="9" l="1"/>
  <c r="D30" i="9"/>
  <c r="D29" i="9"/>
  <c r="D26" i="9"/>
  <c r="D25" i="9"/>
  <c r="D23" i="9"/>
  <c r="D22" i="9"/>
  <c r="D19" i="9"/>
  <c r="D18" i="9"/>
  <c r="D17" i="9"/>
  <c r="D15" i="9"/>
  <c r="D14" i="9"/>
  <c r="D13" i="9"/>
  <c r="D11" i="9"/>
  <c r="D10" i="9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2" i="8"/>
  <c r="D51" i="8"/>
  <c r="D50" i="8"/>
  <c r="D49" i="8"/>
  <c r="D48" i="8"/>
  <c r="D47" i="8"/>
  <c r="D46" i="8"/>
  <c r="D45" i="8"/>
  <c r="D41" i="8" l="1"/>
  <c r="D40" i="8"/>
  <c r="D39" i="8"/>
  <c r="D38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1" i="8"/>
  <c r="D20" i="8"/>
  <c r="D18" i="8"/>
  <c r="D17" i="8"/>
  <c r="D16" i="8"/>
  <c r="D15" i="8"/>
  <c r="D14" i="8"/>
  <c r="D13" i="8"/>
  <c r="D12" i="8"/>
  <c r="D11" i="8"/>
  <c r="D157" i="6" l="1"/>
  <c r="D156" i="6"/>
  <c r="D155" i="6"/>
  <c r="D154" i="6"/>
  <c r="D153" i="6"/>
  <c r="D152" i="6"/>
  <c r="D151" i="6"/>
  <c r="D149" i="6"/>
  <c r="D148" i="6"/>
  <c r="D147" i="6"/>
  <c r="D145" i="6"/>
  <c r="D144" i="6"/>
  <c r="D143" i="6"/>
  <c r="D142" i="6"/>
  <c r="D141" i="6"/>
  <c r="D140" i="6"/>
  <c r="D139" i="6"/>
  <c r="D138" i="6"/>
  <c r="D136" i="6"/>
  <c r="D135" i="6"/>
  <c r="D134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61" i="6"/>
  <c r="D60" i="6"/>
  <c r="D59" i="6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1" i="6"/>
  <c r="B54" i="5" l="1"/>
  <c r="D58" i="5"/>
  <c r="D49" i="5"/>
  <c r="D48" i="5"/>
  <c r="D47" i="5"/>
  <c r="D46" i="5"/>
  <c r="D36" i="5"/>
  <c r="D34" i="5"/>
  <c r="D33" i="5"/>
  <c r="D32" i="5"/>
  <c r="D31" i="5"/>
  <c r="D30" i="5"/>
  <c r="D29" i="5"/>
  <c r="D27" i="5"/>
  <c r="D26" i="5"/>
  <c r="D25" i="5"/>
  <c r="D24" i="5"/>
  <c r="D23" i="5"/>
  <c r="D22" i="5"/>
  <c r="D21" i="5"/>
  <c r="D20" i="5"/>
  <c r="D19" i="5"/>
  <c r="D18" i="5"/>
  <c r="D17" i="5"/>
  <c r="D15" i="5"/>
  <c r="D14" i="5"/>
  <c r="D13" i="5"/>
  <c r="D12" i="5"/>
  <c r="D11" i="5"/>
  <c r="D10" i="5"/>
  <c r="D9" i="5"/>
  <c r="B48" i="4" l="1"/>
  <c r="C17" i="4"/>
  <c r="C13" i="4"/>
  <c r="C8" i="4"/>
  <c r="C21" i="4" l="1"/>
  <c r="C23" i="4" s="1"/>
  <c r="C25" i="4" s="1"/>
  <c r="F14" i="2"/>
  <c r="C137" i="6" l="1"/>
  <c r="D137" i="6"/>
  <c r="E137" i="6"/>
  <c r="S129" i="24" s="1"/>
  <c r="F137" i="6"/>
  <c r="T129" i="24" s="1"/>
  <c r="B137" i="6"/>
  <c r="C62" i="6"/>
  <c r="Q55" i="24" s="1"/>
  <c r="D62" i="6"/>
  <c r="R55" i="24" s="1"/>
  <c r="E62" i="6"/>
  <c r="F62" i="6"/>
  <c r="B62" i="6"/>
  <c r="P55" i="24" s="1"/>
  <c r="B8" i="10"/>
  <c r="C6" i="23"/>
  <c r="C7" i="23" s="1"/>
  <c r="A2" i="8" s="1"/>
  <c r="H25" i="23"/>
  <c r="G25" i="23"/>
  <c r="F25" i="23"/>
  <c r="D5" i="13" s="1"/>
  <c r="E25" i="23"/>
  <c r="D25" i="23"/>
  <c r="G30" i="9"/>
  <c r="G31" i="9"/>
  <c r="U23" i="27" s="1"/>
  <c r="G29" i="9"/>
  <c r="G28" i="9" s="1"/>
  <c r="U20" i="27" s="1"/>
  <c r="G26" i="9"/>
  <c r="U18" i="27" s="1"/>
  <c r="G27" i="9"/>
  <c r="G25" i="9"/>
  <c r="G23" i="9"/>
  <c r="U15" i="27" s="1"/>
  <c r="G22" i="9"/>
  <c r="U14" i="27" s="1"/>
  <c r="G19" i="9"/>
  <c r="G18" i="9"/>
  <c r="G17" i="9"/>
  <c r="U10" i="27" s="1"/>
  <c r="G14" i="9"/>
  <c r="G15" i="9"/>
  <c r="G13" i="9"/>
  <c r="U6" i="27" s="1"/>
  <c r="G11" i="9"/>
  <c r="G10" i="9"/>
  <c r="U3" i="27" s="1"/>
  <c r="G73" i="8"/>
  <c r="U65" i="26" s="1"/>
  <c r="G74" i="8"/>
  <c r="U66" i="26" s="1"/>
  <c r="G75" i="8"/>
  <c r="U67" i="26" s="1"/>
  <c r="G72" i="8"/>
  <c r="U64" i="26" s="1"/>
  <c r="G63" i="8"/>
  <c r="U55" i="26" s="1"/>
  <c r="G64" i="8"/>
  <c r="U56" i="26" s="1"/>
  <c r="G65" i="8"/>
  <c r="G66" i="8"/>
  <c r="U58" i="26" s="1"/>
  <c r="G67" i="8"/>
  <c r="U59" i="26" s="1"/>
  <c r="G68" i="8"/>
  <c r="U60" i="26" s="1"/>
  <c r="G69" i="8"/>
  <c r="U61" i="26" s="1"/>
  <c r="G70" i="8"/>
  <c r="G62" i="8"/>
  <c r="U54" i="26" s="1"/>
  <c r="G55" i="8"/>
  <c r="U47" i="26" s="1"/>
  <c r="G56" i="8"/>
  <c r="U48" i="26" s="1"/>
  <c r="G57" i="8"/>
  <c r="U49" i="26" s="1"/>
  <c r="G58" i="8"/>
  <c r="U50" i="26" s="1"/>
  <c r="G59" i="8"/>
  <c r="U51" i="26" s="1"/>
  <c r="G60" i="8"/>
  <c r="U52" i="26" s="1"/>
  <c r="G54" i="8"/>
  <c r="U46" i="26" s="1"/>
  <c r="G46" i="8"/>
  <c r="G47" i="8"/>
  <c r="U39" i="26" s="1"/>
  <c r="G48" i="8"/>
  <c r="U40" i="26" s="1"/>
  <c r="G49" i="8"/>
  <c r="U41" i="26" s="1"/>
  <c r="G50" i="8"/>
  <c r="U42" i="26" s="1"/>
  <c r="G51" i="8"/>
  <c r="U43" i="26" s="1"/>
  <c r="G52" i="8"/>
  <c r="U44" i="26" s="1"/>
  <c r="G45" i="8"/>
  <c r="U37" i="26" s="1"/>
  <c r="G39" i="8"/>
  <c r="G40" i="8"/>
  <c r="U33" i="26" s="1"/>
  <c r="G41" i="8"/>
  <c r="U34" i="26" s="1"/>
  <c r="G38" i="8"/>
  <c r="U31" i="26" s="1"/>
  <c r="G11" i="8"/>
  <c r="U4" i="26" s="1"/>
  <c r="G12" i="8"/>
  <c r="U5" i="26" s="1"/>
  <c r="G13" i="8"/>
  <c r="U6" i="26" s="1"/>
  <c r="G14" i="8"/>
  <c r="G15" i="8"/>
  <c r="U8" i="26" s="1"/>
  <c r="G16" i="8"/>
  <c r="U9" i="26" s="1"/>
  <c r="G17" i="8"/>
  <c r="U10" i="26" s="1"/>
  <c r="G18" i="8"/>
  <c r="U11" i="26" s="1"/>
  <c r="G20" i="8"/>
  <c r="U13" i="26" s="1"/>
  <c r="G21" i="8"/>
  <c r="U14" i="26" s="1"/>
  <c r="G22" i="8"/>
  <c r="U15" i="26" s="1"/>
  <c r="G23" i="8"/>
  <c r="G24" i="8"/>
  <c r="U17" i="26" s="1"/>
  <c r="G25" i="8"/>
  <c r="U18" i="26" s="1"/>
  <c r="G26" i="8"/>
  <c r="U19" i="26" s="1"/>
  <c r="G28" i="8"/>
  <c r="U21" i="26" s="1"/>
  <c r="G29" i="8"/>
  <c r="U22" i="26" s="1"/>
  <c r="G30" i="8"/>
  <c r="U23" i="26" s="1"/>
  <c r="G31" i="8"/>
  <c r="U24" i="26" s="1"/>
  <c r="G32" i="8"/>
  <c r="U25" i="26" s="1"/>
  <c r="G33" i="8"/>
  <c r="U26" i="26" s="1"/>
  <c r="G34" i="8"/>
  <c r="U27" i="26" s="1"/>
  <c r="G35" i="8"/>
  <c r="U28" i="26" s="1"/>
  <c r="G36" i="8"/>
  <c r="G70" i="7"/>
  <c r="B10" i="6"/>
  <c r="P3" i="24" s="1"/>
  <c r="B18" i="6"/>
  <c r="P11" i="24" s="1"/>
  <c r="B28" i="6"/>
  <c r="B38" i="6"/>
  <c r="P31" i="24" s="1"/>
  <c r="B48" i="6"/>
  <c r="P41" i="24" s="1"/>
  <c r="B58" i="6"/>
  <c r="P51" i="24" s="1"/>
  <c r="B71" i="6"/>
  <c r="B75" i="6"/>
  <c r="P68" i="24" s="1"/>
  <c r="G152" i="6"/>
  <c r="U144" i="24" s="1"/>
  <c r="G153" i="6"/>
  <c r="U145" i="24" s="1"/>
  <c r="G154" i="6"/>
  <c r="G155" i="6"/>
  <c r="U147" i="24" s="1"/>
  <c r="G156" i="6"/>
  <c r="G157" i="6"/>
  <c r="G151" i="6"/>
  <c r="G150" i="6" s="1"/>
  <c r="U142" i="24" s="1"/>
  <c r="G148" i="6"/>
  <c r="U140" i="24" s="1"/>
  <c r="G149" i="6"/>
  <c r="U141" i="24" s="1"/>
  <c r="G147" i="6"/>
  <c r="U139" i="24" s="1"/>
  <c r="G139" i="6"/>
  <c r="U131" i="24" s="1"/>
  <c r="G140" i="6"/>
  <c r="U132" i="24" s="1"/>
  <c r="G141" i="6"/>
  <c r="U133" i="24" s="1"/>
  <c r="G142" i="6"/>
  <c r="U134" i="24" s="1"/>
  <c r="G143" i="6"/>
  <c r="G144" i="6"/>
  <c r="U136" i="24" s="1"/>
  <c r="G145" i="6"/>
  <c r="U137" i="24" s="1"/>
  <c r="G138" i="6"/>
  <c r="G135" i="6"/>
  <c r="U127" i="24" s="1"/>
  <c r="G136" i="6"/>
  <c r="G134" i="6"/>
  <c r="U126" i="24" s="1"/>
  <c r="G125" i="6"/>
  <c r="U117" i="24" s="1"/>
  <c r="G126" i="6"/>
  <c r="U118" i="24" s="1"/>
  <c r="G127" i="6"/>
  <c r="G128" i="6"/>
  <c r="U120" i="24" s="1"/>
  <c r="G129" i="6"/>
  <c r="U121" i="24" s="1"/>
  <c r="G130" i="6"/>
  <c r="U122" i="24" s="1"/>
  <c r="G131" i="6"/>
  <c r="U123" i="24" s="1"/>
  <c r="G132" i="6"/>
  <c r="U124" i="24" s="1"/>
  <c r="G124" i="6"/>
  <c r="U116" i="24" s="1"/>
  <c r="G115" i="6"/>
  <c r="U107" i="24" s="1"/>
  <c r="G116" i="6"/>
  <c r="G117" i="6"/>
  <c r="U109" i="24" s="1"/>
  <c r="G118" i="6"/>
  <c r="G119" i="6"/>
  <c r="U111" i="24" s="1"/>
  <c r="G120" i="6"/>
  <c r="G121" i="6"/>
  <c r="U113" i="24" s="1"/>
  <c r="G122" i="6"/>
  <c r="U114" i="24" s="1"/>
  <c r="G114" i="6"/>
  <c r="G105" i="6"/>
  <c r="U97" i="24" s="1"/>
  <c r="G106" i="6"/>
  <c r="U98" i="24" s="1"/>
  <c r="G107" i="6"/>
  <c r="U99" i="24" s="1"/>
  <c r="G108" i="6"/>
  <c r="G109" i="6"/>
  <c r="U101" i="24" s="1"/>
  <c r="G110" i="6"/>
  <c r="U102" i="24" s="1"/>
  <c r="G111" i="6"/>
  <c r="G112" i="6"/>
  <c r="U104" i="24" s="1"/>
  <c r="G104" i="6"/>
  <c r="G95" i="6"/>
  <c r="U87" i="24" s="1"/>
  <c r="G96" i="6"/>
  <c r="U88" i="24" s="1"/>
  <c r="G97" i="6"/>
  <c r="U89" i="24" s="1"/>
  <c r="G98" i="6"/>
  <c r="G99" i="6"/>
  <c r="U91" i="24" s="1"/>
  <c r="G100" i="6"/>
  <c r="U92" i="24" s="1"/>
  <c r="G101" i="6"/>
  <c r="G102" i="6"/>
  <c r="G94" i="6"/>
  <c r="U86" i="24" s="1"/>
  <c r="G87" i="6"/>
  <c r="U79" i="24" s="1"/>
  <c r="G88" i="6"/>
  <c r="U80" i="24" s="1"/>
  <c r="G89" i="6"/>
  <c r="G90" i="6"/>
  <c r="U82" i="24" s="1"/>
  <c r="G91" i="6"/>
  <c r="U83" i="24" s="1"/>
  <c r="G92" i="6"/>
  <c r="U84" i="24" s="1"/>
  <c r="G86" i="6"/>
  <c r="G77" i="6"/>
  <c r="U70" i="24" s="1"/>
  <c r="G78" i="6"/>
  <c r="G79" i="6"/>
  <c r="U72" i="24" s="1"/>
  <c r="G80" i="6"/>
  <c r="G81" i="6"/>
  <c r="U74" i="24" s="1"/>
  <c r="G82" i="6"/>
  <c r="G76" i="6"/>
  <c r="U69" i="24" s="1"/>
  <c r="G73" i="6"/>
  <c r="G74" i="6"/>
  <c r="U67" i="24" s="1"/>
  <c r="G72" i="6"/>
  <c r="U65" i="24" s="1"/>
  <c r="G64" i="6"/>
  <c r="G65" i="6"/>
  <c r="G66" i="6"/>
  <c r="U59" i="24" s="1"/>
  <c r="G67" i="6"/>
  <c r="G68" i="6"/>
  <c r="G69" i="6"/>
  <c r="G70" i="6"/>
  <c r="U63" i="24" s="1"/>
  <c r="G63" i="6"/>
  <c r="G60" i="6"/>
  <c r="G61" i="6"/>
  <c r="G59" i="6"/>
  <c r="U52" i="24" s="1"/>
  <c r="G50" i="6"/>
  <c r="G51" i="6"/>
  <c r="G52" i="6"/>
  <c r="G53" i="6"/>
  <c r="U46" i="24" s="1"/>
  <c r="G54" i="6"/>
  <c r="U47" i="24" s="1"/>
  <c r="G55" i="6"/>
  <c r="U48" i="24" s="1"/>
  <c r="G56" i="6"/>
  <c r="U49" i="24" s="1"/>
  <c r="G57" i="6"/>
  <c r="G49" i="6"/>
  <c r="U42" i="24" s="1"/>
  <c r="G40" i="6"/>
  <c r="U33" i="24" s="1"/>
  <c r="G41" i="6"/>
  <c r="G42" i="6"/>
  <c r="U35" i="24" s="1"/>
  <c r="G43" i="6"/>
  <c r="U36" i="24" s="1"/>
  <c r="G44" i="6"/>
  <c r="G45" i="6"/>
  <c r="U38" i="24" s="1"/>
  <c r="G46" i="6"/>
  <c r="G47" i="6"/>
  <c r="G39" i="6"/>
  <c r="U32" i="24" s="1"/>
  <c r="G30" i="6"/>
  <c r="U23" i="24" s="1"/>
  <c r="G31" i="6"/>
  <c r="U24" i="24" s="1"/>
  <c r="G32" i="6"/>
  <c r="G33" i="6"/>
  <c r="U26" i="24" s="1"/>
  <c r="G34" i="6"/>
  <c r="U27" i="24" s="1"/>
  <c r="G35" i="6"/>
  <c r="U28" i="24" s="1"/>
  <c r="G36" i="6"/>
  <c r="G37" i="6"/>
  <c r="U30" i="24" s="1"/>
  <c r="G29" i="6"/>
  <c r="U22" i="24" s="1"/>
  <c r="G20" i="6"/>
  <c r="G21" i="6"/>
  <c r="U14" i="24" s="1"/>
  <c r="G22" i="6"/>
  <c r="U15" i="24" s="1"/>
  <c r="G23" i="6"/>
  <c r="G24" i="6"/>
  <c r="U17" i="24" s="1"/>
  <c r="G25" i="6"/>
  <c r="U18" i="24" s="1"/>
  <c r="G26" i="6"/>
  <c r="U19" i="24" s="1"/>
  <c r="G27" i="6"/>
  <c r="G19" i="6"/>
  <c r="U12" i="24" s="1"/>
  <c r="G11" i="6"/>
  <c r="U4" i="24" s="1"/>
  <c r="B7" i="13"/>
  <c r="P2" i="31" s="1"/>
  <c r="G12" i="6"/>
  <c r="G13" i="6"/>
  <c r="U6" i="24" s="1"/>
  <c r="G14" i="6"/>
  <c r="G15" i="6"/>
  <c r="G16" i="6"/>
  <c r="U9" i="24" s="1"/>
  <c r="G17" i="6"/>
  <c r="U10" i="24" s="1"/>
  <c r="G9" i="5"/>
  <c r="G10" i="5"/>
  <c r="U4" i="20" s="1"/>
  <c r="G11" i="5"/>
  <c r="G12" i="5"/>
  <c r="U6" i="20" s="1"/>
  <c r="U7" i="20"/>
  <c r="G14" i="5"/>
  <c r="U8" i="20" s="1"/>
  <c r="G15" i="5"/>
  <c r="U9" i="20" s="1"/>
  <c r="G17" i="5"/>
  <c r="U11" i="20" s="1"/>
  <c r="G18" i="5"/>
  <c r="G19" i="5"/>
  <c r="G20" i="5"/>
  <c r="G21" i="5"/>
  <c r="U15" i="20" s="1"/>
  <c r="G22" i="5"/>
  <c r="G23" i="5"/>
  <c r="G24" i="5"/>
  <c r="G25" i="5"/>
  <c r="U19" i="20" s="1"/>
  <c r="G26" i="5"/>
  <c r="G27" i="5"/>
  <c r="G29" i="5"/>
  <c r="U23" i="20" s="1"/>
  <c r="G30" i="5"/>
  <c r="U24" i="20" s="1"/>
  <c r="G31" i="5"/>
  <c r="G32" i="5"/>
  <c r="U26" i="20" s="1"/>
  <c r="G33" i="5"/>
  <c r="G34" i="5"/>
  <c r="U28" i="20" s="1"/>
  <c r="G36" i="5"/>
  <c r="U30" i="20" s="1"/>
  <c r="G38" i="5"/>
  <c r="G39" i="5"/>
  <c r="U33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E7" i="13"/>
  <c r="F7" i="13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S2" i="30" s="1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 s="1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E8" i="11"/>
  <c r="S2" i="29" s="1"/>
  <c r="F8" i="1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D29" i="10"/>
  <c r="R21" i="28" s="1"/>
  <c r="E29" i="10"/>
  <c r="S21" i="28" s="1"/>
  <c r="F29" i="10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5" i="28"/>
  <c r="P26" i="28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D12" i="9"/>
  <c r="D16" i="9"/>
  <c r="R9" i="27" s="1"/>
  <c r="E12" i="9"/>
  <c r="S5" i="27" s="1"/>
  <c r="E16" i="9"/>
  <c r="S9" i="27" s="1"/>
  <c r="F12" i="9"/>
  <c r="F9" i="9" s="1"/>
  <c r="T2" i="27" s="1"/>
  <c r="F16" i="9"/>
  <c r="Q3" i="27"/>
  <c r="R3" i="27"/>
  <c r="S3" i="27"/>
  <c r="T3" i="27"/>
  <c r="Q4" i="27"/>
  <c r="R4" i="27"/>
  <c r="S4" i="27"/>
  <c r="T4" i="27"/>
  <c r="U4" i="27"/>
  <c r="R5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T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U12" i="27"/>
  <c r="C24" i="9"/>
  <c r="C28" i="9"/>
  <c r="Q20" i="27" s="1"/>
  <c r="D24" i="9"/>
  <c r="D28" i="9"/>
  <c r="R20" i="27" s="1"/>
  <c r="E24" i="9"/>
  <c r="S16" i="27" s="1"/>
  <c r="E28" i="9"/>
  <c r="S20" i="27" s="1"/>
  <c r="F24" i="9"/>
  <c r="T16" i="27" s="1"/>
  <c r="F28" i="9"/>
  <c r="T20" i="27" s="1"/>
  <c r="Q14" i="27"/>
  <c r="R14" i="27"/>
  <c r="S14" i="27"/>
  <c r="T14" i="27"/>
  <c r="Q15" i="27"/>
  <c r="R15" i="27"/>
  <c r="S15" i="27"/>
  <c r="T15" i="27"/>
  <c r="Q17" i="27"/>
  <c r="R17" i="27"/>
  <c r="S17" i="27"/>
  <c r="T17" i="27"/>
  <c r="Q18" i="27"/>
  <c r="R18" i="27"/>
  <c r="S18" i="27"/>
  <c r="T18" i="27"/>
  <c r="Q19" i="27"/>
  <c r="R19" i="27"/>
  <c r="S19" i="27"/>
  <c r="T19" i="27"/>
  <c r="U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P3" i="27"/>
  <c r="P4" i="27"/>
  <c r="B12" i="9"/>
  <c r="P5" i="27" s="1"/>
  <c r="P6" i="27"/>
  <c r="P7" i="27"/>
  <c r="P8" i="27"/>
  <c r="B16" i="9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Q12" i="26" s="1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T12" i="26" s="1"/>
  <c r="F27" i="8"/>
  <c r="T20" i="26" s="1"/>
  <c r="F37" i="8"/>
  <c r="T30" i="26" s="1"/>
  <c r="Q3" i="26"/>
  <c r="Q4" i="26"/>
  <c r="R4" i="26"/>
  <c r="S4" i="26"/>
  <c r="T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R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Q24" i="26"/>
  <c r="R24" i="26"/>
  <c r="S24" i="26"/>
  <c r="T24" i="26"/>
  <c r="Q25" i="26"/>
  <c r="R25" i="26"/>
  <c r="S25" i="26"/>
  <c r="T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Q29" i="26"/>
  <c r="R29" i="26"/>
  <c r="S29" i="26"/>
  <c r="T29" i="26"/>
  <c r="U29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C44" i="8"/>
  <c r="Q36" i="26" s="1"/>
  <c r="C53" i="8"/>
  <c r="C61" i="8"/>
  <c r="Q53" i="26" s="1"/>
  <c r="C71" i="8"/>
  <c r="Q63" i="26" s="1"/>
  <c r="D44" i="8"/>
  <c r="R36" i="26" s="1"/>
  <c r="D53" i="8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T45" i="26" s="1"/>
  <c r="F61" i="8"/>
  <c r="T53" i="26" s="1"/>
  <c r="F71" i="8"/>
  <c r="T63" i="26" s="1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Q41" i="26"/>
  <c r="R41" i="26"/>
  <c r="S41" i="26"/>
  <c r="T41" i="26"/>
  <c r="Q42" i="26"/>
  <c r="R42" i="26"/>
  <c r="S42" i="26"/>
  <c r="T42" i="26"/>
  <c r="Q43" i="26"/>
  <c r="R43" i="26"/>
  <c r="S43" i="26"/>
  <c r="T43" i="26"/>
  <c r="Q44" i="26"/>
  <c r="R44" i="26"/>
  <c r="S44" i="26"/>
  <c r="T44" i="26"/>
  <c r="R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Q49" i="26"/>
  <c r="R49" i="26"/>
  <c r="S49" i="26"/>
  <c r="T49" i="26"/>
  <c r="Q50" i="26"/>
  <c r="R50" i="26"/>
  <c r="S50" i="26"/>
  <c r="T50" i="26"/>
  <c r="Q51" i="26"/>
  <c r="R51" i="26"/>
  <c r="S51" i="26"/>
  <c r="T51" i="26"/>
  <c r="Q52" i="26"/>
  <c r="R52" i="26"/>
  <c r="S52" i="26"/>
  <c r="T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Q61" i="26"/>
  <c r="R61" i="26"/>
  <c r="S61" i="26"/>
  <c r="T61" i="26"/>
  <c r="Q62" i="26"/>
  <c r="R62" i="26"/>
  <c r="S62" i="26"/>
  <c r="T62" i="26"/>
  <c r="U62" i="26"/>
  <c r="Q64" i="26"/>
  <c r="R64" i="26"/>
  <c r="S64" i="26"/>
  <c r="T64" i="26"/>
  <c r="Q65" i="26"/>
  <c r="R65" i="26"/>
  <c r="S65" i="26"/>
  <c r="T65" i="26"/>
  <c r="Q66" i="26"/>
  <c r="R66" i="26"/>
  <c r="S66" i="26"/>
  <c r="T66" i="26"/>
  <c r="Q67" i="26"/>
  <c r="R67" i="26"/>
  <c r="S67" i="26"/>
  <c r="T67" i="26"/>
  <c r="B44" i="8"/>
  <c r="P36" i="26" s="1"/>
  <c r="B53" i="8"/>
  <c r="P45" i="26" s="1"/>
  <c r="B61" i="8"/>
  <c r="P53" i="26" s="1"/>
  <c r="B71" i="8"/>
  <c r="B10" i="8"/>
  <c r="P3" i="26" s="1"/>
  <c r="B19" i="8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69" i="7"/>
  <c r="T3" i="25" s="1"/>
  <c r="E9" i="7"/>
  <c r="E69" i="7"/>
  <c r="S3" i="25" s="1"/>
  <c r="D9" i="7"/>
  <c r="R2" i="25" s="1"/>
  <c r="D69" i="7"/>
  <c r="R3" i="25" s="1"/>
  <c r="C9" i="7"/>
  <c r="Q2" i="25" s="1"/>
  <c r="C69" i="7"/>
  <c r="Q3" i="25" s="1"/>
  <c r="B9" i="7"/>
  <c r="P2" i="25" s="1"/>
  <c r="B69" i="7"/>
  <c r="P3" i="25" s="1"/>
  <c r="A3" i="25"/>
  <c r="A4" i="25"/>
  <c r="A2" i="25"/>
  <c r="A87" i="24"/>
  <c r="C85" i="6"/>
  <c r="Q77" i="24" s="1"/>
  <c r="C93" i="6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R105" i="24" s="1"/>
  <c r="D123" i="6"/>
  <c r="R115" i="24" s="1"/>
  <c r="D133" i="6"/>
  <c r="D146" i="6"/>
  <c r="R138" i="24" s="1"/>
  <c r="D150" i="6"/>
  <c r="R142" i="24" s="1"/>
  <c r="E85" i="6"/>
  <c r="S77" i="24" s="1"/>
  <c r="E93" i="6"/>
  <c r="E103" i="6"/>
  <c r="S95" i="24" s="1"/>
  <c r="E113" i="6"/>
  <c r="S105" i="24" s="1"/>
  <c r="E123" i="6"/>
  <c r="E133" i="6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F146" i="6"/>
  <c r="T138" i="24" s="1"/>
  <c r="F150" i="6"/>
  <c r="T142" i="24" s="1"/>
  <c r="Q78" i="24"/>
  <c r="R78" i="24"/>
  <c r="S78" i="24"/>
  <c r="T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Q85" i="24"/>
  <c r="R85" i="24"/>
  <c r="S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U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S115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Q124" i="24"/>
  <c r="R124" i="24"/>
  <c r="S124" i="24"/>
  <c r="T124" i="24"/>
  <c r="R125" i="24"/>
  <c r="S125" i="24"/>
  <c r="T125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R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C48" i="6"/>
  <c r="Q41" i="24" s="1"/>
  <c r="C58" i="6"/>
  <c r="Q51" i="24" s="1"/>
  <c r="C71" i="6"/>
  <c r="Q64" i="24" s="1"/>
  <c r="C75" i="6"/>
  <c r="Q68" i="24" s="1"/>
  <c r="D10" i="6"/>
  <c r="R3" i="24" s="1"/>
  <c r="D18" i="6"/>
  <c r="R11" i="24" s="1"/>
  <c r="D28" i="6"/>
  <c r="R21" i="24" s="1"/>
  <c r="D38" i="6"/>
  <c r="D48" i="6"/>
  <c r="D58" i="6"/>
  <c r="R51" i="24" s="1"/>
  <c r="D71" i="6"/>
  <c r="R64" i="24" s="1"/>
  <c r="D75" i="6"/>
  <c r="R68" i="24" s="1"/>
  <c r="E10" i="6"/>
  <c r="S3" i="24" s="1"/>
  <c r="E18" i="6"/>
  <c r="S11" i="24" s="1"/>
  <c r="E28" i="6"/>
  <c r="S21" i="24" s="1"/>
  <c r="E38" i="6"/>
  <c r="E48" i="6"/>
  <c r="S41" i="24" s="1"/>
  <c r="E58" i="6"/>
  <c r="S51" i="24" s="1"/>
  <c r="E71" i="6"/>
  <c r="E75" i="6"/>
  <c r="F10" i="6"/>
  <c r="T3" i="24" s="1"/>
  <c r="F18" i="6"/>
  <c r="F28" i="6"/>
  <c r="F38" i="6"/>
  <c r="T31" i="24" s="1"/>
  <c r="F48" i="6"/>
  <c r="T41" i="24" s="1"/>
  <c r="F58" i="6"/>
  <c r="T51" i="24" s="1"/>
  <c r="F71" i="6"/>
  <c r="T64" i="24" s="1"/>
  <c r="F75" i="6"/>
  <c r="B85" i="6"/>
  <c r="P77" i="24" s="1"/>
  <c r="B93" i="6"/>
  <c r="B103" i="6"/>
  <c r="P95" i="24" s="1"/>
  <c r="B113" i="6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Q20" i="24"/>
  <c r="R20" i="24"/>
  <c r="S20" i="24"/>
  <c r="T20" i="24"/>
  <c r="U20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Q29" i="24"/>
  <c r="R29" i="24"/>
  <c r="S29" i="24"/>
  <c r="T29" i="24"/>
  <c r="U29" i="24"/>
  <c r="Q30" i="24"/>
  <c r="R30" i="24"/>
  <c r="S30" i="24"/>
  <c r="T30" i="24"/>
  <c r="Q31" i="24"/>
  <c r="R31" i="24"/>
  <c r="S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U50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S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S68" i="24"/>
  <c r="T68" i="24"/>
  <c r="Q69" i="24"/>
  <c r="R69" i="24"/>
  <c r="S69" i="24"/>
  <c r="T69" i="24"/>
  <c r="Q70" i="24"/>
  <c r="R70" i="24"/>
  <c r="S70" i="24"/>
  <c r="T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5" i="20"/>
  <c r="U12" i="20"/>
  <c r="U13" i="20"/>
  <c r="U14" i="20"/>
  <c r="U16" i="20"/>
  <c r="U17" i="20"/>
  <c r="U18" i="20"/>
  <c r="U20" i="20"/>
  <c r="U21" i="20"/>
  <c r="U25" i="20"/>
  <c r="U27" i="20"/>
  <c r="U32" i="20"/>
  <c r="G46" i="5"/>
  <c r="G47" i="5"/>
  <c r="U39" i="20" s="1"/>
  <c r="G48" i="5"/>
  <c r="U40" i="20" s="1"/>
  <c r="G49" i="5"/>
  <c r="U41" i="20" s="1"/>
  <c r="G50" i="5"/>
  <c r="U42" i="20" s="1"/>
  <c r="G51" i="5"/>
  <c r="U43" i="20" s="1"/>
  <c r="G52" i="5"/>
  <c r="U44" i="20" s="1"/>
  <c r="G53" i="5"/>
  <c r="U38" i="20"/>
  <c r="U45" i="20"/>
  <c r="G55" i="5"/>
  <c r="U47" i="20" s="1"/>
  <c r="G56" i="5"/>
  <c r="G57" i="5"/>
  <c r="U49" i="20" s="1"/>
  <c r="G58" i="5"/>
  <c r="U50" i="20" s="1"/>
  <c r="G60" i="5"/>
  <c r="G61" i="5"/>
  <c r="U53" i="20" s="1"/>
  <c r="G62" i="5"/>
  <c r="U54" i="20" s="1"/>
  <c r="G63" i="5"/>
  <c r="U55" i="20" s="1"/>
  <c r="U60" i="20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D41" i="5"/>
  <c r="C45" i="5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D65" i="5"/>
  <c r="R56" i="20" s="1"/>
  <c r="E65" i="5"/>
  <c r="S56" i="20" s="1"/>
  <c r="F65" i="5"/>
  <c r="T56" i="20" s="1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E5" i="13"/>
  <c r="C5" i="13"/>
  <c r="B5" i="13"/>
  <c r="E5" i="12"/>
  <c r="C5" i="12"/>
  <c r="B5" i="12"/>
  <c r="F5" i="12"/>
  <c r="I25" i="23"/>
  <c r="D23" i="23"/>
  <c r="I23" i="23"/>
  <c r="G6" i="11" s="1"/>
  <c r="H23" i="23"/>
  <c r="F6" i="11" s="1"/>
  <c r="G23" i="23"/>
  <c r="E6" i="11" s="1"/>
  <c r="F23" i="23"/>
  <c r="D6" i="11" s="1"/>
  <c r="E23" i="23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J14" i="3"/>
  <c r="I14" i="3"/>
  <c r="W4" i="17" s="1"/>
  <c r="I8" i="3"/>
  <c r="H14" i="3"/>
  <c r="V4" i="17" s="1"/>
  <c r="G14" i="3"/>
  <c r="U4" i="17" s="1"/>
  <c r="E14" i="3"/>
  <c r="J8" i="3"/>
  <c r="X3" i="17" s="1"/>
  <c r="H8" i="3"/>
  <c r="G8" i="3"/>
  <c r="E8" i="3"/>
  <c r="S3" i="17" s="1"/>
  <c r="F41" i="2"/>
  <c r="T17" i="16" s="1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B63" i="4"/>
  <c r="B55" i="4"/>
  <c r="B53" i="4"/>
  <c r="P30" i="18" s="1"/>
  <c r="B49" i="4"/>
  <c r="P26" i="18"/>
  <c r="B37" i="4"/>
  <c r="B29" i="4"/>
  <c r="P15" i="18" s="1"/>
  <c r="B17" i="4"/>
  <c r="B13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P76" i="15" s="1"/>
  <c r="E31" i="1"/>
  <c r="E38" i="1"/>
  <c r="P87" i="15" s="1"/>
  <c r="E42" i="1"/>
  <c r="P91" i="15" s="1"/>
  <c r="E57" i="1"/>
  <c r="E63" i="1"/>
  <c r="P106" i="15" s="1"/>
  <c r="E68" i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33" i="15"/>
  <c r="P33" i="15"/>
  <c r="A33" i="15"/>
  <c r="A55" i="15"/>
  <c r="Q20" i="15"/>
  <c r="Q26" i="15"/>
  <c r="Q34" i="15"/>
  <c r="Q37" i="15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1" i="15"/>
  <c r="P22" i="15"/>
  <c r="P23" i="15"/>
  <c r="P24" i="15"/>
  <c r="P25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Q33" i="18" s="1"/>
  <c r="D64" i="4"/>
  <c r="R33" i="18" s="1"/>
  <c r="C63" i="4"/>
  <c r="D63" i="4"/>
  <c r="C48" i="4"/>
  <c r="Q26" i="18" s="1"/>
  <c r="C55" i="4"/>
  <c r="D55" i="4"/>
  <c r="C53" i="4"/>
  <c r="Q30" i="18" s="1"/>
  <c r="D53" i="4"/>
  <c r="R30" i="18" s="1"/>
  <c r="D48" i="4"/>
  <c r="R26" i="18" s="1"/>
  <c r="C49" i="4"/>
  <c r="Q27" i="18" s="1"/>
  <c r="D49" i="4"/>
  <c r="C29" i="4"/>
  <c r="Q15" i="18" s="1"/>
  <c r="D29" i="4"/>
  <c r="R15" i="18" s="1"/>
  <c r="C40" i="4"/>
  <c r="Q22" i="18" s="1"/>
  <c r="D40" i="4"/>
  <c r="C37" i="4"/>
  <c r="Q19" i="18" s="1"/>
  <c r="D37" i="4"/>
  <c r="R19" i="18" s="1"/>
  <c r="D13" i="4"/>
  <c r="W3" i="17"/>
  <c r="R15" i="16"/>
  <c r="V15" i="16"/>
  <c r="V14" i="16"/>
  <c r="C13" i="2"/>
  <c r="Q8" i="16" s="1"/>
  <c r="D13" i="2"/>
  <c r="R8" i="16" s="1"/>
  <c r="E13" i="2"/>
  <c r="S8" i="16" s="1"/>
  <c r="F13" i="2"/>
  <c r="G13" i="2"/>
  <c r="U8" i="16" s="1"/>
  <c r="H13" i="2"/>
  <c r="V8" i="16" s="1"/>
  <c r="B13" i="2"/>
  <c r="P8" i="16" s="1"/>
  <c r="C9" i="2"/>
  <c r="Q4" i="16" s="1"/>
  <c r="E9" i="2"/>
  <c r="S4" i="16" s="1"/>
  <c r="F9" i="2"/>
  <c r="G9" i="2"/>
  <c r="U4" i="16" s="1"/>
  <c r="H9" i="2"/>
  <c r="P4" i="16"/>
  <c r="P4" i="15"/>
  <c r="Q9" i="18"/>
  <c r="R31" i="18"/>
  <c r="Q32" i="18"/>
  <c r="Q31" i="18"/>
  <c r="R6" i="18"/>
  <c r="Q5" i="18"/>
  <c r="F41" i="5" l="1"/>
  <c r="U143" i="24"/>
  <c r="U3" i="20"/>
  <c r="C72" i="4"/>
  <c r="Q38" i="18" s="1"/>
  <c r="E6" i="10"/>
  <c r="B6" i="1"/>
  <c r="E41" i="5"/>
  <c r="S34" i="20" s="1"/>
  <c r="T5" i="27"/>
  <c r="G24" i="9"/>
  <c r="U16" i="27" s="1"/>
  <c r="B6" i="11"/>
  <c r="B6" i="10"/>
  <c r="Q37" i="20"/>
  <c r="C65" i="5"/>
  <c r="Q56" i="20" s="1"/>
  <c r="C6" i="11"/>
  <c r="C6" i="10"/>
  <c r="P37" i="20"/>
  <c r="B65" i="5"/>
  <c r="Q10" i="20"/>
  <c r="C41" i="5"/>
  <c r="B9" i="9"/>
  <c r="P2" i="27" s="1"/>
  <c r="Q21" i="28"/>
  <c r="C32" i="10"/>
  <c r="F30" i="11"/>
  <c r="T22" i="29" s="1"/>
  <c r="T34" i="20"/>
  <c r="F70" i="5"/>
  <c r="H20" i="3"/>
  <c r="V5" i="17" s="1"/>
  <c r="C31" i="12"/>
  <c r="Q23" i="30" s="1"/>
  <c r="E31" i="12"/>
  <c r="S23" i="30" s="1"/>
  <c r="F31" i="12"/>
  <c r="T23" i="30" s="1"/>
  <c r="T2" i="30"/>
  <c r="C29" i="13"/>
  <c r="Q22" i="31" s="1"/>
  <c r="Q2" i="31"/>
  <c r="D29" i="13"/>
  <c r="R22" i="31" s="1"/>
  <c r="R2" i="31"/>
  <c r="B30" i="11"/>
  <c r="P22" i="29" s="1"/>
  <c r="C30" i="11"/>
  <c r="Q22" i="29" s="1"/>
  <c r="P2" i="28"/>
  <c r="B32" i="10"/>
  <c r="F32" i="10"/>
  <c r="T23" i="28" s="1"/>
  <c r="Q23" i="28"/>
  <c r="C47" i="1"/>
  <c r="G54" i="5"/>
  <c r="U46" i="20" s="1"/>
  <c r="D21" i="9"/>
  <c r="G32" i="10"/>
  <c r="U23" i="28" s="1"/>
  <c r="F8" i="2"/>
  <c r="D5" i="12"/>
  <c r="U48" i="20"/>
  <c r="G58" i="6"/>
  <c r="U51" i="24" s="1"/>
  <c r="D9" i="9"/>
  <c r="R2" i="27" s="1"/>
  <c r="F29" i="13"/>
  <c r="T22" i="31" s="1"/>
  <c r="G35" i="5"/>
  <c r="U29" i="20" s="1"/>
  <c r="C9" i="9"/>
  <c r="Q2" i="27" s="1"/>
  <c r="D30" i="11"/>
  <c r="R22" i="29" s="1"/>
  <c r="E29" i="13"/>
  <c r="S22" i="31" s="1"/>
  <c r="G113" i="6"/>
  <c r="U105" i="24" s="1"/>
  <c r="B47" i="1"/>
  <c r="G69" i="7"/>
  <c r="U3" i="25" s="1"/>
  <c r="G9" i="7"/>
  <c r="F86" i="7"/>
  <c r="T4" i="25" s="1"/>
  <c r="I20" i="3"/>
  <c r="W5" i="17" s="1"/>
  <c r="E86" i="7"/>
  <c r="S4" i="25" s="1"/>
  <c r="E21" i="9"/>
  <c r="S13" i="27" s="1"/>
  <c r="U21" i="27"/>
  <c r="C21" i="9"/>
  <c r="G16" i="9"/>
  <c r="U9" i="27" s="1"/>
  <c r="U11" i="27"/>
  <c r="E9" i="9"/>
  <c r="S2" i="27" s="1"/>
  <c r="E43" i="8"/>
  <c r="S35" i="26" s="1"/>
  <c r="C43" i="8"/>
  <c r="Q35" i="26" s="1"/>
  <c r="Q45" i="26"/>
  <c r="G44" i="8"/>
  <c r="G37" i="8"/>
  <c r="U30" i="26" s="1"/>
  <c r="D9" i="8"/>
  <c r="R2" i="26" s="1"/>
  <c r="F9" i="8"/>
  <c r="T2" i="26" s="1"/>
  <c r="E9" i="8"/>
  <c r="S2" i="26" s="1"/>
  <c r="D84" i="6"/>
  <c r="R76" i="24" s="1"/>
  <c r="G133" i="6"/>
  <c r="U125" i="24" s="1"/>
  <c r="G123" i="6"/>
  <c r="U115" i="24" s="1"/>
  <c r="U110" i="24"/>
  <c r="G103" i="6"/>
  <c r="U95" i="24" s="1"/>
  <c r="G93" i="6"/>
  <c r="U85" i="24" s="1"/>
  <c r="G85" i="6"/>
  <c r="U77" i="24" s="1"/>
  <c r="G75" i="6"/>
  <c r="U68" i="24" s="1"/>
  <c r="G71" i="6"/>
  <c r="U64" i="24" s="1"/>
  <c r="G48" i="6"/>
  <c r="U41" i="24" s="1"/>
  <c r="G38" i="6"/>
  <c r="U31" i="24" s="1"/>
  <c r="F9" i="6"/>
  <c r="T2" i="24" s="1"/>
  <c r="T11" i="24"/>
  <c r="G10" i="6"/>
  <c r="U3" i="24" s="1"/>
  <c r="G37" i="5"/>
  <c r="U31" i="20" s="1"/>
  <c r="B44" i="4"/>
  <c r="C44" i="4"/>
  <c r="Q2" i="18" s="1"/>
  <c r="C74" i="4"/>
  <c r="Q39" i="18" s="1"/>
  <c r="G20" i="3"/>
  <c r="U5" i="17" s="1"/>
  <c r="V3" i="17"/>
  <c r="T14" i="16"/>
  <c r="G8" i="2"/>
  <c r="G20" i="2" s="1"/>
  <c r="U13" i="16" s="1"/>
  <c r="T8" i="16"/>
  <c r="E8" i="2"/>
  <c r="S3" i="16" s="1"/>
  <c r="F47" i="1"/>
  <c r="F59" i="1" s="1"/>
  <c r="E47" i="1"/>
  <c r="P95" i="15" s="1"/>
  <c r="Q57" i="15"/>
  <c r="P26" i="15"/>
  <c r="D9" i="6"/>
  <c r="R41" i="24"/>
  <c r="C8" i="2"/>
  <c r="Q3" i="16" s="1"/>
  <c r="U58" i="20"/>
  <c r="U57" i="20"/>
  <c r="B84" i="6"/>
  <c r="P76" i="24" s="1"/>
  <c r="P85" i="24"/>
  <c r="B57" i="4"/>
  <c r="B59" i="4" s="1"/>
  <c r="P27" i="18"/>
  <c r="P33" i="18"/>
  <c r="B72" i="4"/>
  <c r="E20" i="2"/>
  <c r="S13" i="16" s="1"/>
  <c r="X4" i="17"/>
  <c r="J20" i="3"/>
  <c r="X5" i="17" s="1"/>
  <c r="R34" i="20"/>
  <c r="D70" i="5"/>
  <c r="G59" i="5"/>
  <c r="U51" i="20" s="1"/>
  <c r="U52" i="20"/>
  <c r="C84" i="6"/>
  <c r="Q76" i="24" s="1"/>
  <c r="K14" i="3"/>
  <c r="Y4" i="17" s="1"/>
  <c r="U45" i="24"/>
  <c r="G28" i="6"/>
  <c r="U21" i="24" s="1"/>
  <c r="C9" i="6"/>
  <c r="U119" i="24"/>
  <c r="U78" i="24"/>
  <c r="B86" i="7"/>
  <c r="P4" i="25" s="1"/>
  <c r="D43" i="8"/>
  <c r="R35" i="26" s="1"/>
  <c r="U17" i="27"/>
  <c r="Q9" i="27"/>
  <c r="P23" i="28"/>
  <c r="E32" i="10"/>
  <c r="S23" i="28" s="1"/>
  <c r="T21" i="28"/>
  <c r="D32" i="10"/>
  <c r="R23" i="28" s="1"/>
  <c r="U2" i="28"/>
  <c r="R2" i="29"/>
  <c r="E30" i="11"/>
  <c r="S22" i="29" s="1"/>
  <c r="G28" i="5"/>
  <c r="U22" i="20" s="1"/>
  <c r="G27" i="8"/>
  <c r="U20" i="26" s="1"/>
  <c r="G10" i="8"/>
  <c r="G19" i="8"/>
  <c r="U12" i="26" s="1"/>
  <c r="C57" i="4"/>
  <c r="C59" i="4" s="1"/>
  <c r="P56" i="20"/>
  <c r="G45" i="5"/>
  <c r="G65" i="5" s="1"/>
  <c r="U73" i="24"/>
  <c r="G146" i="6"/>
  <c r="U138" i="24" s="1"/>
  <c r="E84" i="6"/>
  <c r="S76" i="24" s="1"/>
  <c r="C86" i="7"/>
  <c r="Q4" i="25" s="1"/>
  <c r="B43" i="8"/>
  <c r="P35" i="26" s="1"/>
  <c r="S12" i="26"/>
  <c r="B21" i="9"/>
  <c r="B33" i="9" s="1"/>
  <c r="P24" i="27" s="1"/>
  <c r="P9" i="27"/>
  <c r="P2" i="29"/>
  <c r="G31" i="12"/>
  <c r="U23" i="30" s="1"/>
  <c r="B31" i="12"/>
  <c r="P23" i="30" s="1"/>
  <c r="G29" i="13"/>
  <c r="U22" i="31" s="1"/>
  <c r="B29" i="13"/>
  <c r="P22" i="31" s="1"/>
  <c r="G53" i="8"/>
  <c r="U45" i="26" s="1"/>
  <c r="G71" i="8"/>
  <c r="U63" i="26" s="1"/>
  <c r="K8" i="3"/>
  <c r="Y3" i="17" s="1"/>
  <c r="E20" i="3"/>
  <c r="S5" i="17" s="1"/>
  <c r="U34" i="24"/>
  <c r="U5" i="24"/>
  <c r="U128" i="24"/>
  <c r="B9" i="8"/>
  <c r="P2" i="26" s="1"/>
  <c r="D31" i="12"/>
  <c r="R23" i="30" s="1"/>
  <c r="S2" i="31"/>
  <c r="G16" i="5"/>
  <c r="G41" i="5" s="1"/>
  <c r="G70" i="5" s="1"/>
  <c r="G18" i="6"/>
  <c r="U11" i="24" s="1"/>
  <c r="G62" i="6"/>
  <c r="U55" i="24" s="1"/>
  <c r="G137" i="6"/>
  <c r="U129" i="24" s="1"/>
  <c r="B9" i="6"/>
  <c r="P2" i="24" s="1"/>
  <c r="G61" i="8"/>
  <c r="U53" i="26" s="1"/>
  <c r="G12" i="9"/>
  <c r="U5" i="27" s="1"/>
  <c r="G21" i="9"/>
  <c r="G6" i="10"/>
  <c r="A2" i="14"/>
  <c r="A2" i="2"/>
  <c r="A2" i="7"/>
  <c r="Q12" i="15"/>
  <c r="E79" i="1"/>
  <c r="P119" i="15" s="1"/>
  <c r="P110" i="15"/>
  <c r="B8" i="2"/>
  <c r="T4" i="16"/>
  <c r="U37" i="20"/>
  <c r="R4" i="16"/>
  <c r="D8" i="2"/>
  <c r="C20" i="2"/>
  <c r="Q13" i="16" s="1"/>
  <c r="V4" i="16"/>
  <c r="H8" i="2"/>
  <c r="Q6" i="18"/>
  <c r="D44" i="4"/>
  <c r="R22" i="18"/>
  <c r="D57" i="4"/>
  <c r="D59" i="4" s="1"/>
  <c r="R27" i="18"/>
  <c r="R32" i="18"/>
  <c r="D72" i="4"/>
  <c r="P20" i="15"/>
  <c r="P25" i="18"/>
  <c r="T2" i="25"/>
  <c r="S4" i="17"/>
  <c r="E70" i="5"/>
  <c r="F79" i="1"/>
  <c r="Q119" i="15" s="1"/>
  <c r="A2" i="11"/>
  <c r="D6" i="10"/>
  <c r="A2" i="3"/>
  <c r="B41" i="5"/>
  <c r="E9" i="6"/>
  <c r="B77" i="8"/>
  <c r="P68" i="26" s="1"/>
  <c r="A2" i="10"/>
  <c r="R13" i="27"/>
  <c r="A2" i="9"/>
  <c r="A2" i="6"/>
  <c r="A2" i="12"/>
  <c r="A2" i="4"/>
  <c r="G75" i="5"/>
  <c r="U62" i="20" s="1"/>
  <c r="F84" i="6"/>
  <c r="T76" i="24" s="1"/>
  <c r="E33" i="9"/>
  <c r="S24" i="27" s="1"/>
  <c r="C33" i="9"/>
  <c r="Q24" i="27" s="1"/>
  <c r="Q13" i="27"/>
  <c r="G9" i="9"/>
  <c r="U2" i="27" s="1"/>
  <c r="U3" i="17"/>
  <c r="P19" i="18"/>
  <c r="F6" i="10"/>
  <c r="A2" i="1"/>
  <c r="A2" i="5"/>
  <c r="Q11" i="24"/>
  <c r="S2" i="25"/>
  <c r="U3" i="26"/>
  <c r="D86" i="7"/>
  <c r="R4" i="25" s="1"/>
  <c r="R16" i="27"/>
  <c r="U2" i="29"/>
  <c r="Q2" i="29"/>
  <c r="U57" i="26"/>
  <c r="F43" i="8"/>
  <c r="C9" i="8"/>
  <c r="Q2" i="26" s="1"/>
  <c r="P16" i="27"/>
  <c r="Q16" i="27"/>
  <c r="F21" i="9"/>
  <c r="U7" i="27"/>
  <c r="T2" i="29"/>
  <c r="P2" i="30"/>
  <c r="T2" i="31"/>
  <c r="E77" i="8"/>
  <c r="S68" i="26" s="1"/>
  <c r="U2" i="30"/>
  <c r="Q2" i="30"/>
  <c r="C70" i="5" l="1"/>
  <c r="D33" i="9"/>
  <c r="R24" i="27" s="1"/>
  <c r="Q34" i="20"/>
  <c r="U13" i="27"/>
  <c r="G33" i="9"/>
  <c r="U36" i="26"/>
  <c r="G43" i="8"/>
  <c r="G86" i="7"/>
  <c r="U4" i="25" s="1"/>
  <c r="U2" i="25"/>
  <c r="P13" i="27"/>
  <c r="U35" i="26"/>
  <c r="D77" i="8"/>
  <c r="R68" i="26" s="1"/>
  <c r="D159" i="6"/>
  <c r="R150" i="24" s="1"/>
  <c r="B159" i="6"/>
  <c r="P150" i="24" s="1"/>
  <c r="R2" i="24"/>
  <c r="U56" i="20"/>
  <c r="Q25" i="18"/>
  <c r="K20" i="3"/>
  <c r="Y5" i="17" s="1"/>
  <c r="U3" i="16"/>
  <c r="Q95" i="15"/>
  <c r="E59" i="1"/>
  <c r="E81" i="1" s="1"/>
  <c r="P120" i="15" s="1"/>
  <c r="G84" i="6"/>
  <c r="U76" i="24" s="1"/>
  <c r="P38" i="18"/>
  <c r="B74" i="4"/>
  <c r="P39" i="18" s="1"/>
  <c r="G9" i="8"/>
  <c r="U2" i="26" s="1"/>
  <c r="G9" i="6"/>
  <c r="U10" i="20"/>
  <c r="C159" i="6"/>
  <c r="Q150" i="24" s="1"/>
  <c r="Q2" i="24"/>
  <c r="T13" i="27"/>
  <c r="F33" i="9"/>
  <c r="T24" i="27" s="1"/>
  <c r="T35" i="26"/>
  <c r="F77" i="8"/>
  <c r="T68" i="26" s="1"/>
  <c r="F159" i="6"/>
  <c r="T150" i="24" s="1"/>
  <c r="Q104" i="15"/>
  <c r="F81" i="1"/>
  <c r="Q120" i="15" s="1"/>
  <c r="P42" i="15"/>
  <c r="B62" i="1"/>
  <c r="P54" i="15" s="1"/>
  <c r="Q12" i="18"/>
  <c r="B20" i="2"/>
  <c r="P13" i="16" s="1"/>
  <c r="P3" i="16"/>
  <c r="E159" i="6"/>
  <c r="S150" i="24" s="1"/>
  <c r="S2" i="24"/>
  <c r="R25" i="18"/>
  <c r="U24" i="27"/>
  <c r="B70" i="5"/>
  <c r="P34" i="20"/>
  <c r="P5" i="18"/>
  <c r="B8" i="4"/>
  <c r="C77" i="8"/>
  <c r="Q68" i="26" s="1"/>
  <c r="D74" i="4"/>
  <c r="R39" i="18" s="1"/>
  <c r="R38" i="18"/>
  <c r="V3" i="16"/>
  <c r="H20" i="2"/>
  <c r="V13" i="16" s="1"/>
  <c r="R3" i="16"/>
  <c r="D20" i="2"/>
  <c r="R13" i="16" s="1"/>
  <c r="F20" i="2"/>
  <c r="T13" i="16" s="1"/>
  <c r="T3" i="16"/>
  <c r="Q42" i="15"/>
  <c r="C62" i="1"/>
  <c r="Q54" i="15" s="1"/>
  <c r="G77" i="8" l="1"/>
  <c r="U68" i="26" s="1"/>
  <c r="G159" i="6"/>
  <c r="U150" i="24" s="1"/>
  <c r="U2" i="24"/>
  <c r="P104" i="15"/>
  <c r="G42" i="5"/>
  <c r="U35" i="20" s="1"/>
  <c r="U34" i="20"/>
  <c r="B21" i="4"/>
  <c r="P2" i="18"/>
  <c r="Q13" i="18"/>
  <c r="R5" i="18"/>
  <c r="D8" i="4"/>
  <c r="Q14" i="18" l="1"/>
  <c r="C33" i="4"/>
  <c r="Q18" i="18" s="1"/>
  <c r="D21" i="4"/>
  <c r="R2" i="18"/>
  <c r="P12" i="18"/>
  <c r="B23" i="4"/>
  <c r="R12" i="18" l="1"/>
  <c r="D23" i="4"/>
  <c r="B25" i="4"/>
  <c r="P13" i="18"/>
  <c r="D25" i="4" l="1"/>
  <c r="R13" i="18"/>
  <c r="P14" i="18"/>
  <c r="B33" i="4"/>
  <c r="P18" i="18" s="1"/>
  <c r="R14" i="18" l="1"/>
  <c r="D33" i="4"/>
  <c r="R18" i="18" s="1"/>
</calcChain>
</file>

<file path=xl/sharedStrings.xml><?xml version="1.0" encoding="utf-8"?>
<sst xmlns="http://schemas.openxmlformats.org/spreadsheetml/2006/main" count="4305" uniqueCount="3357">
  <si>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</si>
  <si>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</si>
  <si>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</si>
  <si>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</si>
  <si>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</si>
  <si>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</si>
  <si>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</si>
  <si>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</si>
  <si>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</si>
  <si>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</si>
  <si>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</si>
  <si>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</si>
  <si>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</si>
  <si>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</si>
  <si>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</si>
  <si>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</si>
  <si>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</si>
  <si>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</si>
  <si>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</si>
  <si>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</si>
  <si>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</si>
  <si>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</si>
  <si>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</si>
  <si>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</si>
  <si>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</si>
  <si>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</si>
  <si>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</si>
  <si>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</si>
  <si>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</si>
  <si>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</si>
  <si>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</si>
  <si>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</si>
  <si>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</si>
  <si>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</si>
  <si>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</si>
  <si>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</si>
  <si>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</si>
  <si>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</si>
  <si>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</si>
  <si>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</si>
  <si>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</si>
  <si>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</si>
  <si>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</si>
  <si>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</si>
  <si>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</si>
  <si>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</si>
  <si>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</si>
  <si>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</si>
  <si>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</si>
  <si>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</si>
  <si>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</si>
  <si>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</si>
  <si>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</si>
  <si>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</si>
  <si>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</si>
  <si>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</si>
  <si>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</si>
  <si>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</si>
  <si>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</si>
  <si>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</si>
  <si>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</si>
  <si>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</si>
  <si>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</si>
  <si>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</si>
  <si>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</si>
  <si>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</si>
  <si>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</si>
  <si>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</si>
  <si>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</si>
  <si>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</si>
  <si>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</si>
  <si>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</si>
  <si>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</si>
  <si>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</si>
  <si>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</si>
  <si>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</si>
  <si>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</si>
  <si>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</si>
  <si>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</si>
  <si>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</si>
  <si>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</si>
  <si>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</si>
  <si>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</si>
  <si>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</si>
  <si>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</si>
  <si>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</si>
  <si>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</si>
  <si>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</si>
  <si>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</si>
  <si>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</si>
  <si>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</si>
  <si>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</si>
  <si>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</si>
  <si>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</si>
  <si>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</si>
  <si>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</si>
  <si>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</si>
  <si>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</si>
  <si>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</si>
  <si>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</si>
  <si>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</si>
  <si>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</si>
  <si>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</si>
  <si>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</si>
  <si>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</si>
  <si>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</si>
  <si>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</si>
  <si>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</si>
  <si>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</si>
  <si>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</si>
  <si>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</si>
  <si>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</si>
  <si>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</si>
  <si>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</si>
  <si>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</si>
  <si>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</si>
  <si>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</si>
  <si>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</si>
  <si>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</si>
  <si>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</si>
  <si>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</si>
  <si>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</si>
  <si>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</si>
  <si>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</si>
  <si>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</si>
  <si>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</si>
  <si>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</si>
  <si>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</si>
  <si>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</si>
  <si>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</si>
  <si>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</si>
  <si>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</si>
  <si>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</si>
  <si>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</si>
  <si>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</si>
  <si>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</si>
  <si>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</si>
  <si>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</si>
  <si>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</si>
  <si>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</si>
  <si>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</si>
  <si>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</si>
  <si>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</si>
  <si>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</si>
  <si>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</si>
  <si>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</si>
  <si>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</si>
  <si>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</si>
  <si>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</si>
  <si>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</si>
  <si>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</si>
  <si>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</si>
  <si>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</si>
  <si>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</si>
  <si>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</si>
  <si>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</si>
  <si>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</si>
  <si>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</si>
  <si>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</si>
  <si>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</si>
  <si>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</si>
  <si>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</si>
  <si>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</si>
  <si>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</si>
  <si>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</si>
  <si>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</si>
  <si>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</si>
  <si>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</si>
  <si>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</si>
  <si>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</si>
  <si>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</si>
  <si>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</si>
  <si>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</si>
  <si>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</si>
  <si>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</si>
  <si>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</si>
  <si>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</si>
  <si>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</si>
  <si>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</si>
  <si>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</si>
  <si>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</si>
  <si>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</si>
  <si>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</si>
  <si>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</si>
  <si>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</si>
  <si>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</si>
  <si>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</si>
  <si>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</si>
  <si>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</si>
  <si>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</si>
  <si>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</si>
  <si>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</si>
  <si>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</si>
  <si>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</si>
  <si>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</si>
  <si>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</si>
  <si>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</si>
  <si>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</si>
  <si>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</si>
  <si>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</si>
  <si>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</si>
  <si>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</si>
  <si>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</si>
  <si>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</si>
  <si>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</si>
  <si>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</si>
  <si>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</si>
  <si>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</si>
  <si>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</si>
  <si>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</si>
  <si>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</si>
  <si>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</si>
  <si>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</si>
  <si>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</si>
  <si>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</si>
  <si>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</si>
  <si>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</si>
  <si>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</si>
  <si>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</si>
  <si>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</si>
  <si>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</si>
  <si>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</si>
  <si>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</si>
  <si>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</si>
  <si>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</si>
  <si>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</si>
  <si>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</si>
  <si>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</si>
  <si>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</si>
  <si>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</si>
  <si>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</si>
  <si>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</si>
  <si>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</si>
  <si>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</si>
  <si>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</si>
  <si>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</si>
  <si>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</si>
  <si>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</si>
  <si>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</si>
  <si>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</si>
  <si>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</si>
  <si>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</si>
  <si>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</si>
  <si>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</si>
  <si>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</si>
  <si>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</si>
  <si>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</si>
  <si>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</si>
  <si>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</si>
  <si>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</si>
  <si>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</si>
  <si>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</si>
  <si>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</si>
  <si>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</si>
  <si>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</si>
  <si>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</si>
  <si>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</si>
  <si>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</si>
  <si>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</si>
  <si>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</si>
  <si>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</si>
  <si>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</si>
  <si>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</si>
  <si>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</si>
  <si>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</si>
  <si>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</si>
  <si>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</si>
  <si>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</si>
  <si>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</si>
  <si>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</si>
  <si>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</si>
  <si>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</si>
  <si>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</si>
  <si>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</si>
  <si>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</si>
  <si>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</si>
  <si>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</si>
  <si>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</si>
  <si>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</si>
  <si>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</si>
  <si>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</si>
  <si>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</si>
  <si>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</si>
  <si>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</si>
  <si>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</si>
  <si>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</si>
  <si>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</si>
  <si>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</si>
  <si>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</si>
  <si>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</si>
  <si>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</si>
  <si>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</si>
  <si>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</si>
  <si>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</si>
  <si>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</si>
  <si>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</si>
  <si>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</si>
  <si>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</si>
  <si>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</si>
  <si>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</si>
  <si>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</si>
  <si>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</si>
  <si>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</si>
  <si>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</si>
  <si>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</si>
  <si>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</si>
  <si>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</si>
  <si>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</si>
  <si>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</si>
  <si>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</si>
  <si>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</si>
  <si>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</si>
  <si>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</si>
  <si>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</si>
  <si>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</si>
  <si>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</si>
  <si>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</si>
  <si>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</si>
  <si>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</si>
  <si>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</si>
  <si>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</si>
  <si>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</si>
  <si>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</si>
  <si>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</si>
  <si>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</si>
  <si>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</si>
  <si>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</si>
  <si>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</si>
  <si>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</si>
  <si>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</si>
  <si>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</si>
  <si>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</si>
  <si>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</si>
  <si>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</si>
  <si>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</si>
  <si>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</si>
  <si>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</si>
  <si>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</si>
  <si>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</si>
  <si>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</si>
  <si>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</si>
  <si>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</si>
  <si>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</si>
  <si>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</si>
  <si>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</si>
  <si>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</si>
  <si>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</si>
  <si>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</si>
  <si>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</si>
  <si>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</si>
  <si>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</si>
  <si>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</si>
  <si>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</si>
  <si>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</si>
  <si>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</si>
  <si>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</si>
  <si>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</si>
  <si>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</si>
  <si>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</si>
  <si>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</si>
  <si>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</si>
  <si>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</si>
  <si>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</si>
  <si>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</si>
  <si>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</si>
  <si>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</si>
  <si>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</si>
  <si>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</si>
  <si>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</si>
  <si>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</si>
  <si>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</si>
  <si>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</si>
  <si>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</si>
  <si>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</si>
  <si>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</si>
  <si>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</si>
  <si>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</si>
  <si>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</si>
  <si>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</si>
  <si>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</si>
  <si>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</si>
  <si>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</si>
  <si>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</si>
  <si>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</si>
  <si>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</si>
  <si>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</si>
  <si>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</si>
  <si>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</si>
  <si>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</si>
  <si>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</si>
  <si>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</si>
  <si>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</si>
  <si>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</si>
  <si>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</si>
  <si>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</si>
  <si>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</si>
  <si>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</si>
  <si>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</si>
  <si>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</si>
  <si>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</si>
  <si>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</si>
  <si>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</si>
  <si>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</si>
  <si>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</si>
  <si>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</si>
  <si>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</si>
  <si>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</si>
  <si>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</si>
  <si>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</si>
  <si>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</si>
  <si>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</si>
  <si>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</si>
  <si>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</si>
  <si>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</si>
  <si>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</si>
  <si>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</si>
  <si>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</si>
  <si>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</si>
  <si>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</si>
  <si>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</si>
  <si>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</si>
  <si>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</si>
  <si>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</si>
  <si>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</si>
  <si>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</si>
  <si>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</si>
  <si>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</si>
  <si>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</si>
  <si>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</si>
  <si>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</si>
  <si>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</si>
  <si>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</si>
  <si>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</si>
  <si>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</si>
  <si>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</si>
  <si>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</si>
  <si>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</si>
  <si>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</si>
  <si>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</si>
  <si>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</si>
  <si>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</si>
  <si>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</si>
  <si>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</si>
  <si>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</si>
  <si>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</si>
  <si>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</si>
  <si>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</si>
  <si>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</si>
  <si>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</si>
  <si>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</si>
  <si>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</si>
  <si>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</si>
  <si>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</si>
  <si>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</si>
  <si>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</si>
  <si>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</si>
  <si>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</si>
  <si>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</si>
  <si>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</si>
  <si>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</si>
  <si>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</si>
  <si>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</si>
  <si>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</si>
  <si>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</si>
  <si>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</si>
  <si>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</si>
  <si>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</si>
  <si>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</si>
  <si>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</si>
  <si>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</si>
  <si>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</si>
  <si>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</si>
  <si>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</si>
  <si>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</si>
  <si>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</si>
  <si>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</si>
  <si>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</si>
  <si>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</si>
  <si>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</si>
  <si>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</si>
  <si>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</si>
  <si>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</si>
  <si>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</si>
  <si>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</si>
  <si>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</si>
  <si>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</si>
  <si>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</si>
  <si>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</si>
  <si>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</si>
  <si>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</si>
  <si>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</si>
  <si>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</si>
  <si>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</si>
  <si>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</si>
  <si>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</si>
  <si>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</si>
  <si>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</si>
  <si>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</si>
  <si>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</si>
  <si>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</si>
  <si>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</si>
  <si>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</si>
  <si>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</si>
  <si>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</si>
  <si>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</si>
  <si>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</si>
  <si>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</si>
  <si>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</si>
  <si>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</si>
  <si>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</si>
  <si>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</si>
  <si>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</si>
  <si>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</si>
  <si>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</si>
  <si>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</si>
  <si>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</si>
  <si>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</si>
  <si>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</si>
  <si>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</si>
  <si>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</si>
  <si>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</si>
  <si>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</si>
  <si>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</si>
  <si>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</si>
  <si>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</si>
  <si>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</si>
  <si>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</si>
  <si>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</si>
  <si>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</si>
  <si>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</si>
  <si>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</si>
  <si>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</si>
  <si>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</si>
  <si>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</si>
  <si>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</si>
  <si>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</si>
  <si>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</si>
  <si>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</si>
  <si>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</si>
  <si>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</si>
  <si>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</si>
  <si>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</si>
  <si>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</si>
  <si>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</si>
  <si>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</si>
  <si>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</si>
  <si>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</si>
  <si>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</si>
  <si>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</si>
  <si>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</si>
  <si>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</si>
  <si>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</si>
  <si>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</si>
  <si>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</si>
  <si>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</si>
  <si>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</si>
  <si>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</si>
  <si>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</si>
  <si>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</si>
  <si>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</si>
  <si>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</si>
  <si>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</si>
  <si>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</si>
  <si>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</si>
  <si>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</si>
  <si>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</si>
  <si>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</si>
  <si>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</si>
  <si>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</si>
  <si>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</si>
  <si>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</si>
  <si>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</si>
  <si>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</si>
  <si>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</si>
  <si>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</si>
  <si>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</si>
  <si>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</si>
  <si>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</si>
  <si>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</si>
  <si>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</si>
  <si>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</si>
  <si>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</si>
  <si>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</si>
  <si>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</si>
  <si>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</si>
  <si>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</si>
  <si>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</si>
  <si>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</si>
  <si>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</si>
  <si>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</si>
  <si>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</si>
  <si>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</si>
  <si>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</si>
  <si>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</si>
  <si>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</si>
  <si>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</si>
  <si>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</si>
  <si>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</si>
  <si>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</si>
  <si>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</si>
  <si>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</si>
  <si>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</si>
  <si>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</si>
  <si>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</si>
  <si>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</si>
  <si>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</si>
  <si>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</si>
  <si>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</si>
  <si>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</si>
  <si>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</si>
  <si>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</si>
  <si>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</si>
  <si>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</si>
  <si>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</si>
  <si>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</si>
  <si>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</si>
  <si>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</si>
  <si>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</si>
  <si>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</si>
  <si>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</si>
  <si>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</si>
  <si>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</si>
  <si>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</si>
  <si>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</si>
  <si>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</si>
  <si>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</si>
  <si>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</si>
  <si>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</si>
  <si>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</si>
  <si>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</si>
  <si>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</si>
  <si>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</si>
  <si>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</si>
  <si>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</si>
  <si>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</si>
  <si>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</si>
  <si>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</si>
  <si>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</si>
  <si>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</si>
  <si>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</si>
  <si>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</si>
  <si>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</si>
  <si>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</si>
  <si>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</si>
  <si>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</si>
  <si>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</si>
  <si>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</si>
  <si>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</si>
  <si>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</si>
  <si>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</si>
  <si>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</si>
  <si>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</si>
  <si>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</si>
  <si>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</si>
  <si>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</si>
  <si>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</si>
  <si>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</si>
  <si>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</si>
  <si>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</si>
  <si>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</si>
  <si>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</si>
  <si>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</si>
  <si>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</si>
  <si>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</si>
  <si>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</si>
  <si>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</si>
  <si>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</si>
  <si>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</si>
  <si>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</si>
  <si>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</si>
  <si>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</si>
  <si>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</si>
  <si>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</si>
  <si>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</si>
  <si>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</si>
  <si>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</si>
  <si>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</si>
  <si>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</si>
  <si>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</si>
  <si>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</si>
  <si>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</si>
  <si>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</si>
  <si>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</si>
  <si>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</si>
  <si>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</si>
  <si>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</si>
  <si>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</si>
  <si>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</si>
  <si>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</si>
  <si>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</si>
  <si>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</si>
  <si>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</si>
  <si>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</si>
  <si>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</si>
  <si>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</si>
  <si>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</si>
  <si>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</si>
  <si>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</si>
  <si>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</si>
  <si>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</si>
  <si>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</si>
  <si>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</si>
  <si>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</si>
  <si>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</si>
  <si>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</si>
  <si>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</si>
  <si>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</si>
  <si>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</si>
  <si>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</si>
  <si>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</si>
  <si>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</si>
  <si>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</si>
  <si>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</si>
  <si>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</si>
  <si>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</si>
  <si>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</si>
  <si>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</si>
  <si>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</si>
  <si>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</si>
  <si>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</si>
  <si>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</si>
  <si>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</si>
  <si>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</si>
  <si>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</si>
  <si>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</si>
  <si>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</si>
  <si>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</si>
  <si>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</si>
  <si>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</si>
  <si>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</si>
  <si>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</si>
  <si>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</si>
  <si>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</si>
  <si>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</si>
  <si>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</si>
  <si>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</si>
  <si>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</si>
  <si>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</si>
  <si>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</si>
  <si>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</si>
  <si>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</si>
  <si>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</si>
  <si>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</si>
  <si>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</si>
  <si>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</si>
  <si>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</si>
  <si>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</si>
  <si>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</si>
  <si>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</si>
  <si>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</si>
  <si>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</si>
  <si>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</si>
  <si>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</si>
  <si>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</si>
  <si>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</si>
  <si>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</si>
  <si>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</si>
  <si>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</si>
  <si>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</si>
  <si>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</si>
  <si>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</si>
  <si>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</si>
  <si>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</si>
  <si>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</si>
  <si>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</si>
  <si>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</si>
  <si>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</si>
  <si>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</si>
  <si>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</si>
  <si>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</si>
  <si>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</si>
  <si>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</si>
  <si>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</si>
  <si>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</si>
  <si>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</si>
  <si>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</si>
  <si>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</si>
  <si>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</si>
  <si>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</si>
  <si>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</si>
  <si>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</si>
  <si>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</si>
  <si>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</si>
  <si>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</si>
  <si>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</si>
  <si>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</si>
  <si>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</si>
  <si>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</si>
  <si>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</si>
  <si>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</si>
  <si>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</si>
  <si>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</si>
  <si>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</si>
  <si>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</si>
  <si>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</si>
  <si>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</si>
  <si>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</si>
  <si>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</si>
  <si>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</si>
  <si>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</si>
  <si>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</si>
  <si>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</si>
  <si>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</si>
  <si>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</si>
  <si>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</si>
  <si>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</si>
  <si>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</si>
  <si>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</si>
  <si>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</si>
  <si>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</si>
  <si>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</si>
  <si>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</si>
  <si>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</si>
  <si>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</si>
  <si>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</si>
  <si>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</si>
  <si>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</si>
  <si>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</si>
  <si>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</si>
  <si>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</si>
  <si>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</si>
  <si>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</si>
  <si>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</si>
  <si>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</si>
  <si>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</si>
  <si>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</si>
  <si>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</si>
  <si>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</si>
  <si>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</si>
  <si>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</si>
  <si>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</si>
  <si>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</si>
  <si>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</si>
  <si>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</si>
  <si>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</si>
  <si>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</si>
  <si>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</si>
  <si>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</si>
  <si>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</si>
  <si>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</si>
  <si>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</si>
  <si>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</si>
  <si>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</si>
  <si>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</si>
  <si>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</si>
  <si>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</si>
  <si>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</si>
  <si>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</si>
  <si>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</si>
  <si>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</si>
  <si>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</si>
  <si>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</si>
  <si>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</si>
  <si>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</si>
  <si>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</si>
  <si>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</si>
  <si>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</si>
  <si>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</si>
  <si>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</si>
  <si>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</si>
  <si>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</si>
  <si>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</si>
  <si>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</si>
  <si>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</si>
  <si>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</si>
  <si>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</si>
  <si>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</si>
  <si>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</si>
  <si>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</si>
  <si>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</si>
  <si>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</si>
  <si>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</si>
  <si>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</si>
  <si>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</si>
  <si>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</si>
  <si>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</si>
  <si>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</si>
  <si>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</si>
  <si>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</si>
  <si>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</si>
  <si>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</si>
  <si>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</si>
  <si>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</si>
  <si>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</si>
  <si>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</si>
  <si>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</si>
  <si>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</si>
  <si>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</si>
  <si>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</si>
  <si>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</si>
  <si>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</si>
  <si>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</si>
  <si>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</si>
  <si>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</si>
  <si>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</si>
  <si>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</si>
  <si>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</si>
  <si>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</si>
  <si>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</si>
  <si>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</si>
  <si>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</si>
  <si>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</si>
  <si>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</si>
  <si>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</si>
  <si>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</si>
  <si>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</si>
  <si>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</si>
  <si>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</si>
  <si>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</si>
  <si>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</si>
  <si>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</si>
  <si>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</si>
  <si>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</si>
  <si>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</si>
  <si>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</si>
  <si>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</si>
  <si>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</si>
  <si>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</si>
  <si>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</si>
  <si>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</si>
  <si>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</si>
  <si>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</si>
  <si>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</si>
  <si>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</si>
  <si>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</si>
  <si>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</si>
  <si>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</si>
  <si>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</si>
  <si>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</si>
  <si>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</si>
  <si>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</si>
  <si>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</si>
  <si>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</si>
  <si>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</si>
  <si>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</si>
  <si>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</si>
  <si>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</si>
  <si>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</si>
  <si>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</si>
  <si>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</si>
  <si>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</si>
  <si>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</si>
  <si>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</si>
  <si>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</si>
  <si>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</si>
  <si>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</si>
  <si>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</si>
  <si>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</si>
  <si>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</si>
  <si>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</si>
  <si>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</si>
  <si>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</si>
  <si>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</si>
  <si>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</si>
  <si>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</si>
  <si>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</si>
  <si>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</si>
  <si>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</si>
  <si>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</si>
  <si>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</si>
  <si>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</si>
  <si>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</si>
  <si>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</si>
  <si>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</si>
  <si>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</si>
  <si>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</si>
  <si>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</si>
  <si>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</si>
  <si>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</si>
  <si>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</si>
  <si>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</si>
  <si>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</si>
  <si>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</si>
  <si>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</si>
  <si>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</si>
  <si>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</si>
  <si>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</si>
  <si>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</si>
  <si>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</si>
  <si>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</si>
  <si>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</si>
  <si>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</si>
  <si>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</si>
  <si>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</si>
  <si>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</si>
  <si>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</si>
  <si>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</si>
  <si>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</si>
  <si>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</si>
  <si>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</si>
  <si>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</si>
  <si>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</si>
  <si>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</si>
  <si>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</si>
  <si>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</si>
  <si>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</si>
  <si>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</si>
  <si>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</si>
  <si>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</si>
  <si>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</si>
  <si>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</si>
  <si>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</si>
  <si>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</si>
  <si>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</si>
  <si>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</si>
  <si>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</si>
  <si>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</si>
  <si>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</si>
  <si>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</si>
  <si>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</si>
  <si>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</si>
  <si>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</si>
  <si>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</si>
  <si>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</si>
  <si>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</si>
  <si>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</si>
  <si>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</si>
  <si>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</si>
  <si>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</si>
  <si>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</si>
  <si>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</si>
  <si>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</si>
  <si>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</si>
  <si>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</si>
  <si>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</si>
  <si>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</si>
  <si>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</si>
  <si>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</si>
  <si>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</si>
  <si>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</si>
  <si>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</si>
  <si>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</si>
  <si>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</si>
  <si>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</si>
  <si>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</si>
  <si>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</si>
  <si>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</si>
  <si>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</si>
  <si>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</si>
  <si>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</si>
  <si>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</si>
  <si>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</si>
  <si>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</si>
  <si>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</si>
  <si>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</si>
  <si>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</si>
  <si>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</si>
  <si>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</si>
  <si>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</si>
  <si>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</si>
  <si>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</si>
  <si>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</si>
  <si>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</si>
  <si>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</si>
  <si>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</si>
  <si>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</si>
  <si>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</si>
  <si>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</si>
  <si>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</si>
  <si>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</si>
  <si>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</si>
  <si>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</si>
  <si>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</si>
  <si>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</si>
  <si>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</si>
  <si>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</si>
  <si>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</si>
  <si>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</si>
  <si>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</si>
  <si>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</si>
  <si>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</si>
  <si>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</si>
  <si>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</si>
  <si>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</si>
  <si>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</si>
  <si>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</si>
  <si>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</si>
  <si>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</si>
  <si>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</si>
  <si>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</si>
  <si>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</si>
  <si>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</si>
  <si>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</si>
  <si>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</si>
  <si>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</si>
  <si>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</si>
  <si>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</si>
  <si>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</si>
  <si>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</si>
  <si>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</si>
  <si>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</si>
  <si>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</si>
  <si>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</si>
  <si>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</si>
  <si>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</si>
  <si>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</si>
  <si>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</si>
  <si>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</si>
  <si>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</si>
  <si>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</si>
  <si>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</si>
  <si>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</si>
  <si>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</si>
  <si>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</si>
  <si>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</si>
  <si>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</si>
  <si>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</si>
  <si>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</si>
  <si>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</si>
  <si>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</si>
  <si>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</si>
  <si>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</si>
  <si>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</si>
  <si>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</si>
  <si>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</si>
  <si>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</si>
  <si>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</si>
  <si>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</si>
  <si>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</si>
  <si>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</si>
  <si>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</si>
  <si>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</si>
  <si>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</si>
  <si>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</si>
  <si>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</si>
  <si>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</si>
  <si>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</si>
  <si>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</si>
  <si>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</si>
  <si>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</si>
  <si>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</si>
  <si>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</si>
  <si>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</si>
  <si>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</si>
  <si>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</si>
  <si>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</si>
  <si>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</si>
  <si>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</si>
  <si>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</si>
  <si>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</si>
  <si>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</si>
  <si>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</si>
  <si>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</si>
  <si>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</si>
  <si>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</si>
  <si>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</si>
  <si>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</si>
  <si>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</si>
  <si>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</si>
  <si>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</si>
  <si>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</si>
  <si>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</si>
  <si>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</si>
  <si>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</si>
  <si>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</si>
  <si>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</si>
  <si>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</si>
  <si>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</si>
  <si>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</si>
  <si>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</si>
  <si>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</si>
  <si>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</si>
  <si>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</si>
  <si>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</si>
  <si>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</si>
  <si>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</si>
  <si>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</si>
  <si>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</si>
  <si>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</si>
  <si>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</si>
  <si>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</si>
  <si>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</si>
  <si>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</si>
  <si>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</si>
  <si>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</si>
  <si>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</si>
  <si>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</si>
  <si>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</si>
  <si>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</si>
  <si>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</si>
  <si>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</si>
  <si>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</si>
  <si>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</si>
  <si>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</si>
  <si>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</si>
  <si>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</si>
  <si>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</si>
  <si>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</si>
  <si>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</si>
  <si>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</si>
  <si>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</si>
  <si>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</si>
  <si>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</si>
  <si>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</si>
  <si>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</si>
  <si>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</si>
  <si>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</si>
  <si>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</si>
  <si>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</si>
  <si>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</si>
  <si>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</si>
  <si>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</si>
  <si>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</si>
  <si>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</si>
  <si>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</si>
  <si>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</si>
  <si>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</si>
  <si>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</si>
  <si>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</si>
  <si>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</si>
  <si>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</si>
  <si>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</si>
  <si>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</si>
  <si>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</si>
  <si>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</si>
  <si>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</si>
  <si>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</si>
  <si>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</si>
  <si>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</si>
  <si>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</si>
  <si>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</si>
  <si>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</si>
  <si>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</si>
  <si>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</si>
  <si>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</si>
  <si>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</si>
  <si>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</si>
  <si>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</si>
  <si>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</si>
  <si>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</si>
  <si>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</si>
  <si>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</si>
  <si>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</si>
  <si>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</si>
  <si>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</si>
  <si>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</si>
  <si>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</si>
  <si>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</si>
  <si>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</si>
  <si>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</si>
  <si>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</si>
  <si>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</si>
  <si>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</si>
  <si>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</si>
  <si>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</si>
  <si>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</si>
  <si>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</si>
  <si>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</si>
  <si>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</si>
  <si>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</si>
  <si>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</si>
  <si>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</si>
  <si>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</si>
  <si>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</si>
  <si>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</si>
  <si>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</si>
  <si>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</si>
  <si>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</si>
  <si>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</si>
  <si>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</si>
  <si>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</si>
  <si>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</si>
  <si>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</si>
  <si>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</si>
  <si>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</si>
  <si>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</si>
  <si>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</si>
  <si>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</si>
  <si>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</si>
  <si>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</si>
  <si>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</si>
  <si>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</si>
  <si>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</si>
  <si>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</si>
  <si>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</si>
  <si>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</si>
  <si>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</si>
  <si>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</si>
  <si>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</si>
  <si>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</si>
  <si>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</si>
  <si>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</si>
  <si>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</si>
  <si>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</si>
  <si>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</si>
  <si>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</si>
  <si>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</si>
  <si>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</si>
  <si>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</si>
  <si>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</si>
  <si>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</si>
  <si>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</si>
  <si>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</si>
  <si>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</si>
  <si>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</si>
  <si>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</si>
  <si>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</si>
  <si>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</si>
  <si>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</si>
  <si>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</si>
  <si>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</si>
  <si>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</si>
  <si>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</si>
  <si>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</si>
  <si>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</si>
  <si>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</si>
  <si>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</si>
  <si>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</si>
  <si>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</si>
  <si>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</si>
  <si>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</si>
  <si>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</si>
  <si>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</si>
  <si>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</si>
  <si>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</si>
  <si>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</si>
  <si>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</si>
  <si>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</si>
  <si>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</si>
  <si>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</si>
  <si>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</si>
  <si>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</si>
  <si>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</si>
  <si>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</si>
  <si>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</si>
  <si>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</si>
  <si>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</si>
  <si>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</si>
  <si>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</si>
  <si>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</si>
  <si>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</si>
  <si>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</si>
  <si>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</si>
  <si>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</si>
  <si>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</si>
  <si>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</si>
  <si>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</si>
  <si>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</si>
  <si>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</si>
  <si>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</si>
  <si>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</si>
  <si>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</si>
  <si>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</si>
  <si>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</si>
  <si>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</si>
  <si>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</si>
  <si>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</si>
  <si>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</si>
  <si>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</si>
  <si>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</si>
  <si>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</si>
  <si>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</si>
  <si>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</si>
  <si>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</si>
  <si>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</si>
  <si>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</si>
  <si>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</si>
  <si>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</si>
  <si>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</si>
  <si>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</si>
  <si>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</si>
  <si>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</si>
  <si>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</si>
  <si>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</si>
  <si>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</si>
  <si>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</si>
  <si>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</si>
  <si>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</si>
  <si>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</si>
  <si>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</si>
  <si>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</si>
  <si>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</si>
  <si>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</si>
  <si>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</si>
  <si>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</si>
  <si>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</si>
  <si>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</si>
  <si>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</si>
  <si>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</si>
  <si>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</si>
  <si>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</si>
  <si>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</si>
  <si>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</si>
  <si>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</si>
  <si>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</si>
  <si>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</si>
  <si>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</si>
  <si>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</si>
  <si>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</si>
  <si>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</si>
  <si>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</si>
  <si>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</si>
  <si>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</si>
  <si>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</si>
  <si>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</si>
  <si>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</si>
  <si>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</si>
  <si>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</si>
  <si>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</si>
  <si>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</si>
  <si>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</si>
  <si>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</si>
  <si>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</si>
  <si>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</si>
  <si>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</si>
  <si>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</si>
  <si>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</si>
  <si>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</si>
  <si>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</si>
  <si>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</si>
  <si>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</si>
  <si>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</si>
  <si>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</si>
  <si>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</si>
  <si>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</si>
  <si>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</si>
  <si>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</si>
  <si>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</si>
  <si>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</si>
  <si>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</si>
  <si>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</si>
  <si>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</si>
  <si>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</si>
  <si>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</si>
  <si>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</si>
  <si>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</si>
  <si>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</si>
  <si>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</si>
  <si>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</si>
  <si>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</si>
  <si>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</si>
  <si>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</si>
  <si>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</si>
  <si>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</si>
  <si>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</si>
  <si>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</si>
  <si>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</si>
  <si>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</si>
  <si>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</si>
  <si>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</si>
  <si>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</si>
  <si>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</si>
  <si>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</si>
  <si>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</si>
  <si>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</si>
  <si>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</si>
  <si>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</si>
  <si>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</si>
  <si>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</si>
  <si>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</si>
  <si>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</si>
  <si>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</si>
  <si>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</si>
  <si>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</si>
  <si>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</si>
  <si>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</si>
  <si>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</si>
  <si>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</si>
  <si>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</si>
  <si>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</si>
  <si>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</si>
  <si>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</si>
  <si>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</si>
  <si>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</si>
  <si>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</si>
  <si>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</si>
  <si>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</si>
  <si>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</si>
  <si>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</si>
  <si>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</si>
  <si>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</si>
  <si>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</si>
  <si>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</si>
  <si>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</si>
  <si>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</si>
  <si>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</si>
  <si>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</si>
  <si>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</si>
  <si>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</si>
  <si>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</si>
  <si>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</si>
  <si>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</si>
  <si>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</si>
  <si>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</si>
  <si>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</si>
  <si>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</si>
  <si>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</si>
  <si>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</si>
  <si>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</si>
  <si>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</si>
  <si>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</si>
  <si>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</si>
  <si>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</si>
  <si>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</si>
  <si>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</si>
  <si>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</si>
  <si>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</si>
  <si>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</si>
  <si>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</si>
  <si>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</si>
  <si>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</si>
  <si>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</si>
  <si>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</si>
  <si>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</si>
  <si>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</si>
  <si>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</si>
  <si>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</si>
  <si>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</si>
  <si>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</si>
  <si>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</si>
  <si>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</si>
  <si>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</si>
  <si>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</si>
  <si>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</si>
  <si>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</si>
  <si>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</si>
  <si>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</si>
  <si>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</si>
  <si>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</si>
  <si>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</si>
  <si>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</si>
  <si>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</si>
  <si>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</si>
  <si>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</si>
  <si>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</si>
  <si>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</si>
  <si>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</si>
  <si>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</si>
  <si>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</si>
  <si>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</si>
  <si>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</si>
  <si>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</si>
  <si>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</si>
  <si>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</si>
  <si>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</si>
  <si>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</si>
  <si>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</si>
  <si>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</si>
  <si>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</si>
  <si>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</si>
  <si>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</si>
  <si>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</si>
  <si>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</si>
  <si>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</si>
  <si>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</si>
  <si>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</si>
  <si>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</si>
  <si>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</si>
  <si>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</si>
  <si>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</si>
  <si>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</si>
  <si>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</si>
  <si>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</si>
  <si>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</si>
  <si>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</si>
  <si>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</si>
  <si>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</si>
  <si>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</si>
  <si>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</si>
  <si>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</si>
  <si>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</si>
  <si>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</si>
  <si>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</si>
  <si>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</si>
  <si>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</si>
  <si>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</si>
  <si>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</si>
  <si>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</si>
  <si>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</si>
  <si>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</si>
  <si>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</si>
  <si>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</si>
  <si>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</si>
  <si>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</si>
  <si>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</si>
  <si>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</si>
  <si>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</si>
  <si>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</si>
  <si>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</si>
  <si>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</si>
  <si>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</si>
  <si>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</si>
  <si>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</si>
  <si>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</si>
  <si>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</si>
  <si>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</si>
  <si>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</si>
  <si>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</si>
  <si>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</si>
  <si>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</si>
  <si>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</si>
  <si>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</si>
  <si>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</si>
  <si>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</si>
  <si>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</si>
  <si>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</si>
  <si>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</si>
  <si>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</si>
  <si>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</si>
  <si>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</si>
  <si>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</si>
  <si>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</si>
  <si>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</si>
  <si>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</si>
  <si>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</si>
  <si>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</si>
  <si>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</si>
  <si>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</si>
  <si>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</si>
  <si>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</si>
  <si>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</si>
  <si>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</si>
  <si>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</si>
  <si>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</si>
  <si>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</si>
  <si>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</si>
  <si>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</si>
  <si>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</si>
  <si>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</si>
  <si>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</si>
  <si>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</si>
  <si>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</si>
  <si>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</si>
  <si>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</si>
  <si>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</si>
  <si>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</si>
  <si>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</si>
  <si>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</si>
  <si>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</si>
  <si>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</si>
  <si>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</si>
  <si>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</si>
  <si>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</si>
  <si>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</si>
  <si>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</si>
  <si>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</si>
  <si>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</si>
  <si>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</si>
  <si>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</si>
  <si>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</si>
  <si>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</si>
  <si>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</si>
  <si>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</si>
  <si>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</si>
  <si>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</si>
  <si>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</si>
  <si>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</si>
  <si>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</si>
  <si>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</si>
  <si>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</si>
  <si>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</si>
  <si>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</si>
  <si>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</si>
  <si>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</si>
  <si>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</si>
  <si>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</si>
  <si>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</si>
  <si>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</si>
  <si>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</si>
  <si>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</si>
  <si>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</si>
  <si>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</si>
  <si>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</si>
  <si>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</si>
  <si>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</si>
  <si>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</si>
  <si>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</si>
  <si>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</si>
  <si>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</si>
  <si>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</si>
  <si>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</si>
  <si>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</si>
  <si>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</si>
  <si>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</si>
  <si>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</si>
  <si>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</si>
  <si>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</si>
  <si>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</si>
  <si>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</si>
  <si>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</si>
  <si>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</si>
  <si>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</si>
  <si>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</si>
  <si>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</si>
  <si>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</si>
  <si>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</si>
  <si>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</si>
  <si>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</si>
  <si>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</si>
  <si>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</si>
  <si>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</si>
  <si>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</si>
  <si>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</si>
  <si>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</si>
  <si>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</si>
  <si>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</si>
  <si>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</si>
  <si>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</si>
  <si>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</si>
  <si>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</si>
  <si>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</si>
  <si>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</si>
  <si>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</si>
  <si>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</si>
  <si>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</si>
  <si>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</si>
  <si>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</si>
  <si>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</si>
  <si>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</si>
  <si>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</si>
  <si>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</si>
  <si>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</si>
  <si>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</si>
  <si>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</si>
  <si>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</si>
  <si>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</si>
  <si>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</si>
  <si>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</si>
  <si>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</si>
  <si>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</si>
  <si>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</si>
  <si>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</si>
  <si>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</si>
  <si>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</si>
  <si>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</si>
  <si>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</si>
  <si>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</si>
  <si>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</si>
  <si>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</si>
  <si>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</si>
  <si>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</si>
  <si>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</si>
  <si>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</si>
  <si>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</si>
  <si>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</si>
  <si>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</si>
  <si>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</si>
  <si>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</si>
  <si>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</si>
  <si>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</si>
  <si>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</si>
  <si>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</si>
  <si>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</si>
  <si>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</si>
  <si>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</si>
  <si>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</si>
  <si>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</si>
  <si>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</si>
  <si>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</si>
  <si>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</si>
  <si>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</si>
  <si>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</si>
  <si>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</si>
  <si>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</si>
  <si>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</si>
  <si>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</si>
  <si>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</si>
  <si>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</si>
  <si>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</si>
  <si>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</si>
  <si>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</si>
  <si>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</si>
  <si>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</si>
  <si>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</si>
  <si>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</si>
  <si>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</si>
  <si>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</si>
  <si>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</si>
  <si>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</si>
  <si>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</si>
  <si>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</si>
  <si>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</si>
  <si>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</si>
  <si>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</si>
  <si>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</si>
  <si>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</si>
  <si>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</si>
  <si>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</si>
  <si>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</si>
  <si>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</si>
  <si>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</si>
  <si>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</si>
  <si>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</si>
  <si>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</si>
  <si>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</si>
  <si>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</si>
  <si>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</si>
  <si>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</si>
  <si>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</si>
  <si>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</si>
  <si>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</si>
  <si>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</si>
  <si>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</si>
  <si>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</si>
  <si>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</si>
  <si>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</si>
  <si>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</si>
  <si>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</si>
  <si>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</si>
  <si>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</si>
  <si>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</si>
  <si>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</si>
  <si>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</si>
  <si>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</si>
  <si>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</si>
  <si>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</si>
  <si>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</si>
  <si>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</si>
  <si>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</si>
  <si>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</si>
  <si>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</si>
  <si>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</si>
  <si>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</si>
  <si>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</si>
  <si>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</si>
  <si>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</si>
  <si>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</si>
  <si>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</si>
  <si>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</si>
  <si>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</si>
  <si>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</si>
  <si>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</si>
  <si>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</si>
  <si>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</si>
  <si>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</si>
  <si>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</si>
  <si>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</si>
  <si>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</si>
  <si>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</si>
  <si>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</si>
  <si>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</si>
  <si>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</si>
  <si>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</si>
  <si>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</si>
  <si>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</si>
  <si>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</si>
  <si>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</si>
  <si>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</si>
  <si>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</si>
  <si>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</si>
  <si>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</si>
  <si>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</si>
  <si>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</si>
  <si>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</si>
  <si>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</si>
  <si>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</si>
  <si>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</si>
  <si>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</si>
  <si>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</si>
  <si>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</si>
  <si>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</si>
  <si>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</si>
  <si>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</si>
  <si>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</si>
  <si>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</si>
  <si>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</si>
  <si>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</si>
  <si>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</si>
  <si>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</si>
  <si>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</si>
  <si>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</si>
  <si>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</si>
  <si>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</si>
  <si>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</si>
  <si>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</si>
  <si>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</si>
  <si>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</si>
  <si>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</si>
  <si>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</si>
  <si>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</si>
  <si>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</si>
  <si>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</si>
  <si>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</si>
  <si>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</si>
  <si>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</si>
  <si>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</si>
  <si>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</si>
  <si>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</si>
  <si>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</si>
  <si>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</si>
  <si>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</si>
  <si>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</si>
  <si>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</si>
  <si>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</si>
  <si>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</si>
  <si>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</si>
  <si>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</si>
  <si>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</si>
  <si>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</si>
  <si>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</si>
  <si>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</si>
  <si>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</si>
  <si>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</si>
  <si>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</si>
  <si>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</si>
  <si>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</si>
  <si>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</si>
  <si>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</si>
  <si>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</si>
  <si>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</si>
  <si>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</si>
  <si>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</si>
  <si>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</si>
  <si>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</si>
  <si>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</si>
  <si>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</si>
  <si>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</si>
  <si>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</si>
  <si>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</si>
  <si>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</si>
  <si>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</si>
  <si>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</si>
  <si>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</si>
  <si>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</si>
  <si>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</si>
  <si>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</si>
  <si>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</si>
  <si>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</si>
  <si>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</si>
  <si>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</si>
  <si>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</si>
  <si>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</si>
  <si>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</si>
  <si>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</si>
  <si>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</si>
  <si>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</si>
  <si>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</si>
  <si>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</si>
  <si>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</si>
  <si>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</si>
  <si>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</si>
  <si>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</si>
  <si>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</si>
  <si>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</si>
  <si>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</si>
  <si>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</si>
  <si>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</si>
  <si>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</si>
  <si>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</si>
  <si>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</si>
  <si>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</si>
  <si>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</si>
  <si>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</si>
  <si>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</si>
  <si>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</si>
  <si>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</si>
  <si>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</si>
  <si>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</si>
  <si>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</si>
  <si>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</si>
  <si>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</si>
  <si>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</si>
  <si>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</si>
  <si>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</si>
  <si>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</si>
  <si>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</si>
  <si>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</si>
  <si>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</si>
  <si>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</si>
  <si>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</si>
  <si>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</si>
  <si>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</si>
  <si>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</si>
  <si>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</si>
  <si>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</si>
  <si>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</si>
  <si>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</si>
  <si>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</si>
  <si>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</si>
  <si>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</si>
  <si>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</si>
  <si>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</si>
  <si>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</si>
  <si>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</si>
  <si>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</si>
  <si>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</si>
  <si>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</si>
  <si>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</si>
  <si>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</si>
  <si>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</si>
  <si>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</si>
  <si>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</si>
  <si>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</si>
  <si>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</si>
  <si>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</si>
  <si>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</si>
  <si>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</si>
  <si>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</si>
  <si>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</si>
  <si>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</si>
  <si>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</si>
  <si>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</si>
  <si>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</si>
  <si>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</si>
  <si>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</si>
  <si>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</si>
  <si>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</si>
  <si>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</si>
  <si>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</si>
  <si>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</si>
  <si>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</si>
  <si>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</si>
  <si>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</si>
  <si>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</si>
  <si>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</si>
  <si>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</si>
  <si>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</si>
  <si>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</si>
  <si>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</si>
  <si>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</si>
  <si>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</si>
  <si>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</si>
  <si>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</si>
  <si>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</si>
  <si>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</si>
  <si>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</si>
  <si>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</si>
  <si>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</si>
  <si>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</si>
  <si>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</si>
  <si>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</si>
  <si>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</si>
  <si>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</si>
  <si>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</si>
  <si>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</si>
  <si>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</si>
  <si>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</si>
  <si>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</si>
  <si>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</si>
  <si>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</si>
  <si>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</si>
  <si>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</si>
  <si>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</si>
  <si>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</si>
  <si>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</si>
  <si>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</si>
  <si>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</si>
  <si>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</si>
  <si>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</si>
  <si>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</si>
  <si>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</si>
  <si>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</si>
  <si>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</si>
  <si>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</si>
  <si>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</si>
  <si>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</si>
  <si>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</si>
  <si>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</si>
  <si>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</si>
  <si>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</si>
  <si>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</si>
  <si>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</si>
  <si>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</si>
  <si>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</si>
  <si>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</si>
  <si>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</si>
  <si>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</si>
  <si>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</si>
  <si>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</si>
  <si>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</si>
  <si>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</si>
  <si>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</si>
  <si>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</si>
  <si>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</si>
  <si>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</si>
  <si>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</si>
  <si>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</si>
  <si>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</si>
  <si>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</si>
  <si>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</si>
  <si>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</si>
  <si>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</si>
  <si>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</si>
  <si>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</si>
  <si>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</si>
  <si>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</si>
  <si>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</si>
  <si>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</si>
  <si>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</si>
  <si>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</si>
  <si>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</si>
  <si>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</si>
  <si>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</si>
  <si>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</si>
  <si>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</si>
  <si>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</si>
  <si>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</si>
  <si>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</si>
  <si>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</si>
  <si>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</si>
  <si>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</si>
  <si>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</si>
  <si>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</si>
  <si>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</si>
  <si>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</si>
  <si>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</si>
  <si>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</si>
  <si>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</si>
  <si>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</si>
  <si>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</si>
  <si>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</si>
  <si>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</si>
  <si>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</si>
  <si>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</si>
  <si>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</si>
  <si>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</si>
  <si>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</si>
  <si>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</si>
  <si>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</si>
  <si>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</si>
  <si>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</si>
  <si>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</si>
  <si>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</si>
  <si>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</si>
  <si>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</si>
  <si>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</si>
  <si>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</si>
  <si>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</si>
  <si>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</si>
  <si>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</si>
  <si>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</si>
  <si>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</si>
  <si>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</si>
  <si>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</si>
  <si>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</si>
  <si>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</si>
  <si>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</si>
  <si>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</si>
  <si>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</si>
  <si>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</si>
  <si>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</si>
  <si>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</si>
  <si>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</si>
  <si>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</si>
  <si>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</si>
  <si>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</si>
  <si>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</si>
  <si>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</si>
  <si>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</si>
  <si>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</si>
  <si>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</si>
  <si>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</si>
  <si>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</si>
  <si>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</si>
  <si>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</si>
  <si>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</si>
  <si>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</si>
  <si>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</si>
  <si>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</si>
  <si>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</si>
  <si>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</si>
  <si>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</si>
  <si>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</si>
  <si>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</si>
  <si>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</si>
  <si>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</si>
  <si>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</si>
  <si>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</si>
  <si>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</si>
  <si>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</si>
  <si>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</si>
  <si>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</si>
  <si>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</si>
  <si>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</si>
  <si>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</si>
  <si>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</si>
  <si>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</si>
  <si>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</si>
  <si>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</si>
  <si>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</si>
  <si>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</si>
  <si>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</si>
  <si>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</si>
  <si>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</si>
  <si>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</si>
  <si>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</si>
  <si>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</si>
  <si>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</si>
  <si>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</si>
  <si>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</si>
  <si>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</si>
  <si>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</si>
  <si>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</si>
  <si>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</si>
  <si>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</si>
  <si>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</si>
  <si>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</si>
  <si>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</si>
  <si>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</si>
  <si>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</si>
  <si>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</si>
  <si>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</si>
  <si>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</si>
  <si>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</si>
  <si>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</si>
  <si>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</si>
  <si>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</si>
  <si>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</si>
  <si>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</si>
  <si>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</si>
  <si>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</si>
  <si>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</si>
  <si>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</si>
  <si>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</si>
  <si>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</si>
  <si>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</si>
  <si>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</si>
  <si>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</si>
  <si>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</si>
  <si>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</si>
  <si>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</si>
  <si>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</si>
  <si>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</si>
  <si>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</si>
  <si>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</si>
  <si>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</si>
  <si>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</si>
  <si>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</si>
  <si>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</si>
  <si>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</si>
  <si>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</si>
  <si>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</si>
  <si>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</si>
  <si>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</si>
  <si>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</si>
  <si>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</si>
  <si>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</si>
  <si>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</si>
  <si>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</si>
  <si>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</si>
  <si>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</si>
  <si>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</si>
  <si>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</si>
  <si>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</si>
  <si>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</si>
  <si>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</si>
  <si>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</si>
  <si>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</si>
  <si>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</si>
  <si>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</si>
  <si>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</si>
  <si>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</si>
  <si>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</si>
  <si>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</si>
  <si>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</si>
  <si>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</si>
  <si>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</si>
  <si>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</si>
  <si>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</si>
  <si>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</si>
  <si>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</si>
  <si>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</si>
  <si>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</si>
  <si>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</si>
  <si>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</si>
  <si>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</si>
  <si>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</si>
  <si>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</si>
  <si>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</si>
  <si>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</si>
  <si>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</si>
  <si>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</si>
  <si>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</si>
  <si>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</si>
  <si>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</si>
  <si>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</si>
  <si>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</si>
  <si>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</si>
  <si>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</si>
  <si>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</si>
  <si>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</si>
  <si>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</si>
  <si>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</si>
  <si>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</si>
  <si>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</si>
  <si>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</si>
  <si>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</si>
  <si>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</si>
  <si>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</si>
  <si>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</si>
  <si>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</si>
  <si>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</si>
  <si>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</si>
  <si>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</si>
  <si>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</si>
  <si>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</si>
  <si>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</si>
  <si>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</si>
  <si>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</si>
  <si>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</si>
  <si>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</si>
  <si>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</si>
  <si>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</si>
  <si>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</si>
  <si>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</si>
  <si>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</si>
  <si>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</si>
  <si>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</si>
  <si>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</si>
  <si>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</si>
  <si>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</si>
  <si>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</si>
  <si>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</si>
  <si>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</si>
  <si>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</si>
  <si>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</si>
  <si>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</si>
  <si>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</si>
  <si>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</si>
  <si>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</si>
  <si>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</si>
  <si>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</si>
  <si>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</si>
  <si>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</si>
  <si>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</si>
  <si>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</si>
  <si>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</si>
  <si>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</si>
  <si>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</si>
  <si>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</si>
  <si>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</si>
  <si>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</si>
  <si>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</si>
  <si>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</si>
  <si>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</si>
  <si>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</si>
  <si>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</si>
  <si>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</si>
  <si>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</si>
  <si>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</si>
  <si>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</si>
  <si>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</si>
  <si>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</si>
  <si>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</si>
  <si>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</si>
  <si>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</si>
  <si>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</si>
  <si>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</si>
  <si>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</si>
  <si>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</si>
  <si>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</si>
  <si>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</si>
  <si>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</si>
  <si>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</si>
  <si>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</si>
  <si>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</si>
  <si>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</si>
  <si>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</si>
  <si>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</si>
  <si>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</si>
  <si>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</si>
  <si>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</si>
  <si>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</si>
  <si>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</si>
  <si>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</si>
  <si>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</si>
  <si>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</si>
  <si>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</si>
  <si>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</si>
  <si>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</si>
  <si>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</si>
  <si>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</si>
  <si>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</si>
  <si>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</si>
  <si>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</si>
  <si>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</si>
  <si>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</si>
  <si>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</si>
  <si>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</si>
  <si>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</si>
  <si>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</si>
  <si>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</si>
  <si>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</si>
  <si>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</si>
  <si>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</si>
  <si>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</si>
  <si>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</si>
  <si>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</si>
  <si>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</si>
  <si>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</si>
  <si>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</si>
  <si>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</si>
  <si>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</si>
  <si>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</si>
  <si>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</si>
  <si>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</si>
  <si>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</si>
  <si>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</si>
  <si>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</si>
  <si>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</si>
  <si>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</si>
  <si>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</si>
  <si>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</si>
  <si>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</si>
  <si>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</si>
  <si>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</si>
  <si>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</si>
  <si>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</si>
  <si>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</si>
  <si>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</si>
  <si>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</si>
  <si>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</si>
  <si>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</si>
  <si>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</si>
  <si>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</si>
  <si>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</si>
  <si>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</si>
  <si>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</si>
  <si>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</si>
  <si>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</si>
  <si>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</si>
  <si>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</si>
  <si>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</si>
  <si>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</si>
  <si>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</si>
  <si>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</si>
  <si>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</si>
  <si>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</si>
  <si>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</si>
  <si>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</si>
  <si>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</si>
  <si>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</si>
  <si>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</si>
  <si>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</si>
  <si>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</si>
  <si>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</si>
  <si>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</si>
  <si>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</si>
  <si>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</si>
  <si>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</si>
  <si>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</si>
  <si>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</si>
  <si>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</si>
  <si>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</si>
  <si>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</si>
  <si>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</si>
  <si>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</si>
  <si>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</si>
  <si>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</si>
  <si>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</si>
  <si>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</si>
  <si>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</si>
  <si>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</si>
  <si>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</si>
  <si>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</si>
  <si>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</si>
  <si>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</si>
  <si>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</si>
  <si>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</si>
  <si>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</si>
  <si>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</si>
  <si>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</si>
  <si>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</si>
  <si>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</si>
  <si>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</si>
  <si>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</si>
  <si>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</si>
  <si>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</si>
  <si>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</si>
  <si>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</si>
  <si>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</si>
  <si>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</si>
  <si>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</si>
  <si>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</si>
  <si>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</si>
  <si>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</si>
  <si>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</si>
  <si>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</si>
  <si>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</si>
  <si>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</si>
  <si>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</si>
  <si>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</si>
  <si>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</si>
  <si>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</si>
  <si>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</si>
  <si>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</si>
  <si>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</si>
  <si>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</si>
  <si>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</si>
  <si>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</si>
  <si>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</si>
  <si>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</si>
  <si>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</si>
  <si>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</si>
  <si>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</si>
  <si>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</si>
  <si>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</si>
  <si>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</si>
  <si>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</si>
  <si>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</si>
  <si>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</si>
  <si>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</si>
  <si>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</si>
  <si>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</si>
  <si>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</si>
  <si>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</si>
  <si>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</si>
  <si>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</si>
  <si>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</si>
  <si>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</si>
  <si>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</si>
  <si>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</si>
  <si>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</si>
  <si>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</si>
  <si>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</si>
  <si>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</si>
  <si>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</si>
  <si>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</si>
  <si>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</si>
  <si>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</si>
  <si>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</si>
  <si>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</si>
  <si>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</si>
  <si>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</si>
  <si>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</si>
  <si>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</si>
  <si>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</si>
  <si>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</si>
  <si>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</si>
  <si>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</si>
  <si>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</si>
  <si>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</si>
  <si>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</si>
  <si>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</si>
  <si>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</si>
  <si>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</si>
  <si>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</si>
  <si>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</si>
  <si>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</si>
  <si>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</si>
  <si>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</si>
  <si>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</si>
  <si>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</si>
  <si>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</si>
  <si>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</si>
  <si>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</si>
  <si>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</si>
  <si>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</si>
  <si>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</si>
  <si>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</si>
  <si>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</si>
  <si>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</si>
  <si>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</si>
  <si>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</si>
  <si>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</si>
  <si>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</si>
  <si>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</si>
  <si>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</si>
  <si>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</si>
  <si>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</si>
  <si>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</si>
  <si>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</si>
  <si>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</si>
  <si>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</si>
  <si>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</si>
  <si>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</si>
  <si>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</si>
  <si>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</si>
  <si>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</si>
  <si>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</si>
  <si>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</si>
  <si>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</si>
  <si>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</si>
  <si>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</si>
  <si>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</si>
  <si>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</si>
  <si>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</si>
  <si>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</si>
  <si>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</si>
  <si>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</si>
  <si>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</si>
  <si>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</si>
  <si>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</si>
  <si>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</si>
  <si>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</si>
  <si>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</si>
  <si>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</si>
  <si>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</si>
  <si>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</si>
  <si>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</si>
  <si>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</si>
  <si>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</si>
  <si>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</si>
  <si>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</si>
  <si>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</si>
  <si>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</si>
  <si>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</si>
  <si>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</si>
  <si>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</si>
  <si>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</si>
  <si>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</si>
  <si>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</si>
  <si>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</si>
  <si>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</si>
  <si>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</si>
  <si>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</si>
  <si>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</si>
  <si>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</si>
  <si>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</si>
  <si>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</si>
  <si>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</si>
  <si>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</si>
  <si>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</si>
  <si>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</si>
  <si>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</si>
  <si>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</si>
  <si>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</si>
  <si>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</si>
  <si>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</si>
  <si>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</si>
  <si>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</si>
  <si>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</si>
  <si>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</si>
  <si>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</si>
  <si>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</si>
  <si>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</si>
  <si>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</si>
  <si>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</si>
  <si>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</si>
  <si>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</si>
  <si>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</si>
  <si>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</si>
  <si>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</si>
  <si>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</si>
  <si>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</si>
  <si>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</si>
  <si>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</si>
  <si>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</si>
  <si>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</si>
  <si>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</si>
  <si>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</si>
  <si>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</si>
  <si>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</si>
  <si>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</si>
  <si>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</si>
  <si>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</si>
  <si>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</si>
  <si>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</si>
  <si>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</si>
  <si>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</si>
  <si>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</si>
  <si>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</si>
  <si>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</si>
  <si>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</si>
  <si>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</si>
  <si>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</si>
  <si>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</si>
  <si>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</si>
  <si>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</si>
  <si>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</si>
  <si>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</si>
  <si>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</si>
  <si>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</si>
  <si>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</si>
  <si>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</si>
  <si>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</si>
  <si>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</si>
  <si>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</si>
  <si>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</si>
  <si>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</si>
  <si>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</si>
  <si>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</si>
  <si>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</si>
  <si>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</si>
  <si>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</si>
  <si>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</si>
  <si>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</si>
  <si>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</si>
  <si>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</si>
  <si>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</si>
  <si>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</si>
  <si>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</si>
  <si>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</si>
  <si>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</si>
  <si>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</si>
  <si>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</si>
  <si>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</si>
  <si>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</si>
  <si>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</si>
  <si>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</si>
  <si>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</si>
  <si>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</si>
  <si>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</si>
  <si>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</si>
  <si>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</si>
  <si>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</si>
  <si>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</si>
  <si>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</si>
  <si>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</si>
  <si>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</si>
  <si>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</si>
  <si>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</si>
  <si>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</si>
  <si>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</si>
  <si>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</si>
  <si>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</si>
  <si>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</si>
  <si>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</si>
  <si>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</si>
  <si>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</si>
  <si>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</si>
  <si>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</si>
  <si>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</si>
  <si>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</si>
  <si>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</si>
  <si>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</si>
  <si>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</si>
  <si>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</si>
  <si>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</si>
  <si>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</si>
  <si>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</si>
  <si>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</si>
  <si>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</si>
  <si>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</si>
  <si>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</si>
  <si>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</si>
  <si>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</si>
  <si>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</si>
  <si>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</si>
  <si>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</si>
  <si>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</si>
  <si>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</si>
  <si>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</si>
  <si>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</si>
  <si>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</si>
  <si>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</si>
  <si>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</si>
  <si>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</si>
  <si>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</si>
  <si>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</si>
  <si>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</si>
  <si>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</si>
  <si>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</si>
  <si>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</si>
  <si>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</si>
  <si>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</si>
  <si>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</si>
  <si>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</si>
  <si>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</si>
  <si>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</si>
  <si>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</si>
  <si>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</si>
  <si>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</si>
  <si>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</si>
  <si>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</si>
  <si>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</si>
  <si>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</si>
  <si>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</si>
  <si>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</si>
  <si>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</si>
  <si>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</si>
  <si>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</si>
  <si>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</si>
  <si>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</si>
  <si>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</si>
  <si>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</si>
  <si>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</si>
  <si>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</si>
  <si>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</si>
  <si>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</si>
  <si>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</si>
  <si>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</si>
  <si>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</si>
  <si>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</si>
  <si>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</si>
  <si>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</si>
  <si>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</si>
  <si>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</si>
  <si>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</si>
  <si>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</si>
  <si>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</si>
  <si>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</si>
  <si>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</si>
  <si>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</si>
  <si>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</si>
  <si>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</si>
  <si>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</si>
  <si>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</si>
  <si>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</si>
  <si>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</si>
  <si>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</si>
  <si>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</si>
  <si>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</si>
  <si>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</si>
  <si>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</si>
  <si>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</si>
  <si>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</si>
  <si>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</si>
  <si>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</si>
  <si>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</si>
  <si>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</si>
  <si>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</si>
  <si>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</si>
  <si>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</si>
  <si>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</si>
  <si>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</si>
  <si>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</si>
  <si>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</si>
  <si>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</si>
  <si>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</si>
  <si>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</si>
  <si>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</si>
  <si>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</si>
  <si>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</si>
  <si>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</si>
  <si>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</si>
  <si>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</si>
  <si>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</si>
  <si>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</si>
  <si>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</si>
  <si>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</si>
  <si>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</si>
  <si>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</si>
  <si>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</si>
  <si>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</si>
  <si>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</si>
  <si>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</si>
  <si>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</si>
  <si>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</si>
  <si>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</si>
  <si>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</si>
  <si>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</si>
  <si>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</si>
  <si>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</si>
  <si>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</si>
  <si>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</si>
  <si>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</si>
  <si>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</si>
  <si>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</si>
  <si>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</si>
  <si>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</si>
  <si>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</si>
  <si>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</si>
  <si>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</si>
  <si>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</si>
  <si>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</si>
  <si>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</si>
  <si>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</si>
  <si>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</si>
  <si>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</si>
  <si>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</si>
  <si>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</si>
  <si>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</si>
  <si>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</si>
  <si>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</si>
  <si>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</si>
  <si>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</si>
  <si>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</si>
  <si>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</si>
  <si>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</si>
  <si>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</si>
  <si>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</si>
  <si>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</si>
  <si>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</si>
  <si>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</si>
  <si>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</si>
  <si>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</si>
  <si>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</si>
  <si>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</si>
  <si>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</si>
  <si>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</si>
  <si>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</si>
  <si>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</si>
  <si>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</si>
  <si>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</si>
  <si>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</si>
  <si>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</si>
  <si>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</si>
  <si>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</si>
  <si>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</si>
  <si>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</si>
  <si>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</si>
  <si>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</si>
  <si>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</si>
  <si>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</si>
  <si>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</si>
  <si>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</si>
  <si>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</si>
  <si>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</si>
  <si>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</si>
  <si>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</si>
  <si>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</si>
  <si>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</si>
  <si>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</si>
  <si>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</si>
  <si>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</si>
  <si>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</si>
  <si>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</si>
  <si>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</si>
  <si>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</si>
  <si>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</si>
  <si>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</si>
  <si>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</si>
  <si>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</si>
  <si>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</si>
  <si>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</si>
  <si>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</si>
  <si>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</si>
  <si>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</si>
  <si>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</si>
  <si>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</si>
  <si>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</si>
  <si>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</si>
  <si>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</si>
  <si>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</si>
  <si>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</si>
  <si>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</si>
  <si>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</si>
  <si>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</si>
  <si>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</si>
  <si>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</si>
  <si>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</si>
  <si>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</si>
  <si>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</si>
  <si>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</si>
  <si>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</si>
  <si>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</si>
  <si>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</si>
  <si>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</si>
  <si>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</si>
  <si>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</si>
  <si>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</si>
  <si>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</si>
  <si>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</si>
  <si>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</si>
  <si>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</si>
  <si>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</si>
  <si>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</si>
  <si>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</si>
  <si>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</si>
  <si>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</si>
  <si>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</si>
  <si>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</si>
  <si>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</si>
  <si>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</si>
  <si>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</si>
  <si>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</si>
  <si>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</si>
  <si>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</si>
  <si>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</si>
  <si>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</si>
  <si>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</si>
  <si>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</si>
  <si>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</si>
  <si>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</si>
  <si>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</si>
  <si>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</si>
  <si>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</si>
  <si>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</si>
  <si>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</si>
  <si>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</si>
  <si>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</si>
  <si>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</si>
  <si>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</si>
  <si>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</si>
  <si>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</si>
  <si>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</si>
  <si>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</si>
  <si>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</si>
  <si>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</si>
  <si>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</si>
  <si>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</si>
  <si>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</si>
  <si>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</si>
  <si>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</si>
  <si>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</si>
  <si>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</si>
  <si>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</si>
  <si>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</si>
  <si>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</si>
  <si>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</si>
  <si>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</si>
  <si>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</si>
  <si>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</si>
  <si>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</si>
  <si>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</si>
  <si>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</si>
  <si>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</si>
  <si>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</si>
  <si>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</si>
  <si>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</si>
  <si>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</si>
  <si>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</si>
  <si>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</si>
  <si>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</si>
  <si>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</si>
  <si>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</si>
  <si>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</si>
  <si>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</si>
  <si>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</si>
  <si>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</si>
  <si>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</si>
  <si>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</si>
  <si>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</si>
  <si>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</si>
  <si>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</si>
  <si>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</si>
  <si>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</si>
  <si>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</si>
  <si>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</si>
  <si>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</si>
  <si>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</si>
  <si>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</si>
  <si>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</si>
  <si>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</si>
  <si>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</si>
  <si>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</si>
  <si>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</si>
  <si>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</si>
  <si>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</si>
  <si>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</si>
  <si>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</si>
  <si>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</si>
  <si>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</si>
  <si>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</si>
  <si>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</si>
  <si>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</si>
  <si>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</si>
  <si>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</si>
  <si>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</si>
  <si>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</si>
  <si>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</si>
  <si>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</si>
  <si>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</si>
  <si>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</si>
  <si>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</si>
  <si>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</si>
  <si>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</si>
  <si>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</si>
  <si>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</si>
  <si>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</si>
  <si>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</si>
  <si>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</si>
  <si>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</si>
  <si>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</si>
  <si>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</si>
  <si>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</si>
  <si>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</si>
  <si>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</si>
  <si>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</si>
  <si>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</si>
  <si>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</si>
  <si>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</si>
  <si>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</si>
  <si>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</si>
  <si>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</si>
  <si>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</si>
  <si>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</si>
  <si>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</si>
  <si>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</si>
  <si>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</si>
  <si>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</si>
  <si>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</si>
  <si>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</si>
  <si>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</si>
  <si>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</si>
  <si>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</si>
  <si>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</si>
  <si>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</si>
  <si>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</si>
  <si>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</si>
  <si>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</si>
  <si>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</si>
  <si>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</si>
  <si>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</si>
  <si>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</si>
  <si>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</si>
  <si>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</si>
  <si>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</si>
  <si>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</si>
  <si>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</si>
  <si>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</si>
  <si>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</si>
  <si>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</si>
  <si>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</si>
  <si>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</si>
  <si>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</si>
  <si>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</si>
  <si>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</si>
  <si>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</si>
  <si>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</si>
  <si>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</si>
  <si>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</si>
  <si>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</si>
  <si>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</si>
  <si>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</si>
  <si>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</si>
  <si>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</si>
  <si>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</si>
  <si>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</si>
  <si>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</si>
  <si>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</si>
  <si>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</si>
  <si>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</si>
  <si>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</si>
  <si>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</si>
  <si>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</si>
  <si>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</si>
  <si>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</si>
  <si>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</si>
  <si>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</si>
  <si>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</si>
  <si>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</si>
  <si>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</si>
  <si>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</si>
  <si>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</si>
  <si>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</si>
  <si>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</si>
  <si>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</si>
  <si>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</si>
  <si>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</si>
  <si>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</si>
  <si>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</si>
  <si>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</si>
  <si>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</si>
  <si>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</si>
  <si>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</si>
  <si>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</si>
  <si>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</si>
  <si>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</si>
  <si>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</si>
  <si>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</si>
  <si>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</si>
  <si>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</si>
  <si>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</si>
  <si>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</si>
  <si>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</si>
  <si>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</si>
  <si>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</si>
  <si>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</si>
  <si>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</si>
  <si>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</si>
  <si>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</si>
  <si>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</si>
  <si>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</si>
  <si>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</si>
  <si>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</si>
  <si>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</si>
  <si>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</si>
  <si>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</si>
  <si>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</si>
  <si>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</si>
  <si>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</si>
  <si>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</si>
  <si>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</si>
  <si>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</si>
  <si>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</si>
  <si>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</si>
  <si>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</si>
  <si>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</si>
  <si>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</si>
  <si>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</si>
  <si>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</si>
  <si>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</si>
  <si>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</si>
  <si>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</si>
  <si>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</si>
  <si>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</si>
  <si>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</si>
  <si>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</si>
  <si>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</si>
  <si>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</si>
  <si>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</si>
  <si>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</si>
  <si>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</si>
  <si>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</si>
  <si>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</si>
  <si>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</si>
  <si>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</si>
  <si>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</si>
  <si>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</si>
  <si>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</si>
  <si>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</si>
  <si>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</si>
  <si>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</si>
  <si>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</si>
  <si>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</si>
  <si>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</si>
  <si>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</si>
  <si>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</si>
  <si>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</si>
  <si>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</si>
  <si>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</si>
  <si>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</si>
  <si>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</si>
  <si>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</si>
  <si>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</si>
  <si>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</si>
  <si>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</si>
  <si>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</si>
  <si>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</si>
  <si>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</si>
  <si>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</si>
  <si>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</si>
  <si>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</si>
  <si>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</si>
  <si>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</si>
  <si>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</si>
  <si>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</si>
  <si>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</si>
  <si>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</si>
  <si>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</si>
  <si>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</si>
  <si>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</si>
  <si>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</si>
  <si>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</si>
  <si>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</si>
  <si>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</si>
  <si>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</si>
  <si>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</si>
  <si>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</si>
  <si>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</si>
  <si>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</si>
  <si>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</si>
  <si>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</si>
  <si>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</si>
  <si>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</si>
  <si>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</si>
  <si>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</si>
  <si>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</si>
  <si>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</si>
  <si>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</si>
  <si>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</si>
  <si>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</si>
  <si>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</si>
  <si>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</si>
  <si>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</si>
  <si>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</si>
  <si>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</si>
  <si>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</si>
  <si>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</si>
  <si>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</si>
  <si>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</si>
  <si>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</si>
  <si>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</si>
  <si>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</si>
  <si>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</si>
  <si>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</si>
  <si>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</si>
  <si>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</si>
  <si>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</si>
  <si>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</si>
  <si>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</si>
  <si>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</si>
  <si>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</si>
  <si>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</si>
  <si>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</si>
  <si>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</si>
  <si>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</si>
  <si>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</si>
  <si>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</si>
  <si>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</si>
  <si>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</si>
  <si>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</si>
  <si>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</si>
  <si>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</si>
  <si>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</si>
  <si>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</si>
  <si>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</si>
  <si>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</si>
  <si>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</si>
  <si>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</si>
  <si>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</si>
  <si>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</si>
  <si>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</si>
  <si>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</si>
  <si>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</si>
  <si>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</si>
  <si>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</si>
  <si>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</si>
  <si>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</si>
  <si>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</si>
  <si>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</si>
  <si>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</si>
  <si>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</si>
  <si>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</si>
  <si>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</si>
  <si>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</si>
  <si>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</si>
  <si>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</si>
  <si>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</si>
  <si>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</si>
  <si>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</si>
  <si>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</si>
  <si>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</si>
  <si>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</si>
  <si>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</si>
  <si>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</si>
  <si>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</si>
  <si>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</si>
  <si>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</si>
  <si>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</si>
  <si>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</si>
  <si>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</si>
  <si>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</si>
  <si>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2020 y al 31 de diciembre de 2021 (b)</t>
  </si>
  <si>
    <t>Del 1 de enero al 31 de diciembre de 2021 (b)</t>
  </si>
  <si>
    <t>*  31111-0101  PRESIDENTE MUNICIPAL</t>
  </si>
  <si>
    <t>*  31111-0102  SINDICATURA Y REGIDURÍA</t>
  </si>
  <si>
    <t>*  31111-0103  SECRETARIA PARTICULAR</t>
  </si>
  <si>
    <t>*  31111-0104  UNIDAD DE COMUNICACI</t>
  </si>
  <si>
    <t>*  31111-0105  CONTRALORÍA MUNICIPAL</t>
  </si>
  <si>
    <t>*  31111-0106  UNID INNOV Y POL PUB</t>
  </si>
  <si>
    <t>*  31111-0201  SECRETARÍA DEL H. AY</t>
  </si>
  <si>
    <t>*  31111-0202  DIR GRAL DE SERV JUR</t>
  </si>
  <si>
    <t>*  31111-0203  JUZGADO ADMINISTRATI</t>
  </si>
  <si>
    <t>*  31111-0206  DIR FUNCIÓN EDILICIA</t>
  </si>
  <si>
    <t>*  31111-0207  DIR DE ARCHIVO MPAL</t>
  </si>
  <si>
    <t>*  31111-0208  UNID ACCESO A LA INF</t>
  </si>
  <si>
    <t>*  31111-0209  DIRECCIÓN DE GOBIERNO</t>
  </si>
  <si>
    <t>*  31111-0301  TESORERÍA MUNICIPAL</t>
  </si>
  <si>
    <t>*  31111-0302  DIRECCIÓN DE INGRESOS</t>
  </si>
  <si>
    <t>*  31111-0304  DIRECCIÓN DE CATASTR</t>
  </si>
  <si>
    <t>*  31111-0306  COORD GRAL FINANZAS</t>
  </si>
  <si>
    <t>*  31111-0307  COORD GRAL DE ADMÓN</t>
  </si>
  <si>
    <t>*  31111-0308  DIR ADQ Y SERV GRAL</t>
  </si>
  <si>
    <t>*  31111-0309  DIR DE RECURSOS HUMANOS</t>
  </si>
  <si>
    <t>*  31111-0310  DIR TECNOLOGÍAS INF</t>
  </si>
  <si>
    <t>*  31111-0505  DIR GRAL SERV PUB</t>
  </si>
  <si>
    <t>*  31111-0506  DIR SERV COMPLEMENT</t>
  </si>
  <si>
    <t>*  31111-0507  DIR DE SERVICIOS BÁSICOS</t>
  </si>
  <si>
    <t>*  31111-0508  DIR DE ALUMBRADO PÚBLICO</t>
  </si>
  <si>
    <t>*  31111-0605  DG MED AMB Y ORD TER</t>
  </si>
  <si>
    <t>*  31111-0606  DIR TECNICA Y ADVA</t>
  </si>
  <si>
    <t>*  31111-0607  DIR ADMÓN URBANA</t>
  </si>
  <si>
    <t>*  31111-0608  DIR IMAGEN URB Y GES</t>
  </si>
  <si>
    <t>*  31111-0609  DIR ECOLOG Y MED AMB</t>
  </si>
  <si>
    <t>*  31111-0610  DIRECCION DE VIVIENDA</t>
  </si>
  <si>
    <t>*  31111-0701  DIRECCIÓN GENERAL DE</t>
  </si>
  <si>
    <t>*  31111-0702  DIRECCIÓN TECNICA AD</t>
  </si>
  <si>
    <t>*  31111-0703  DIRECCIÓN DE CONSTRUCCIÓN</t>
  </si>
  <si>
    <t>*  31111-0704  DIRECCIÓN DE PROGRAM</t>
  </si>
  <si>
    <t>*  31111-0705  DIRECCIÓN DE MANTENI</t>
  </si>
  <si>
    <t>*  31111-0805  SRIA SEG CIUDADANA</t>
  </si>
  <si>
    <t>*  31111-0806  DG TRANS MOV Y TR</t>
  </si>
  <si>
    <t>*  31111-0807  COMISARÍA POL PREV</t>
  </si>
  <si>
    <t>*  31111-0808  DIR DE PROTECCIÓN CIVIL</t>
  </si>
  <si>
    <t>*  31111-0809  DIR FISC Y CTROL REG</t>
  </si>
  <si>
    <t>*  31111-1003  DIRECCIÓN PART Y ATE</t>
  </si>
  <si>
    <t>*  31111-1004  DIR GR DES SOC Y HUM</t>
  </si>
  <si>
    <t>*  31111-1005  DIR GEST Y PARTSOC</t>
  </si>
  <si>
    <t>*  31111-1006  DIR DE DESARROLLO RURAL</t>
  </si>
  <si>
    <t>*  31111-1007  DIR DE PROY PRODUCT</t>
  </si>
  <si>
    <t>*  31111-1008  DIR D ORG Y PROG SOC</t>
  </si>
  <si>
    <t>*  31111-1009  DIR DE SALUD</t>
  </si>
  <si>
    <t>*  31111-1203  DG DES TUR Y ECON</t>
  </si>
  <si>
    <t>*  31111-1204  DIR DE PROM TURÍST</t>
  </si>
  <si>
    <t>*  31111-1205  DIR DE DES TURÍSTICO</t>
  </si>
  <si>
    <t>*  31111-1206  DIR ATEN A SECT PROD</t>
  </si>
  <si>
    <t>*  31111-1207  DIR PROM EC Y AT INV</t>
  </si>
  <si>
    <t>*  31111-1303  DIR GRAL CUL Y EDUC</t>
  </si>
  <si>
    <t>*  31111-1304  DIR MUSEO MOMIAS</t>
  </si>
  <si>
    <t>*  31120-8201  DIF</t>
  </si>
  <si>
    <t>*  31120-8301  COMUDAJ</t>
  </si>
  <si>
    <t>*  31120-8801  INST MPAL PLANEACION</t>
  </si>
  <si>
    <t>X</t>
  </si>
  <si>
    <t>ADEVARAN SERVICIOS EMPRESARARIALES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</si>
</sst>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0" fillId="0" borderId="13" xfId="0" applyNumberFormat="1" applyFill="1" applyBorder="1" applyAlignment="1" applyProtection="1">
      <alignment vertical="center"/>
      <protection locked="0"/>
    </xf>
    <xf numFmtId="4" fontId="0" fillId="0" borderId="0" xfId="0" applyNumberFormat="1" applyProtection="1">
      <protection locked="0"/>
    </xf>
    <xf numFmtId="43" fontId="15" fillId="0" borderId="13" xfId="1" applyFont="1" applyFill="1" applyBorder="1" applyProtection="1">
      <protection locked="0"/>
    </xf>
    <xf numFmtId="43" fontId="1" fillId="0" borderId="13" xfId="0" applyNumberFormat="1" applyFont="1" applyFill="1" applyBorder="1" applyProtection="1"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1" fillId="0" borderId="13" xfId="0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8">
    <cellStyle name="Millares" xfId="1" builtinId="3"/>
    <cellStyle name="Millares 2" xfId="2" xr:uid="{00000000-0005-0000-0000-000001000000}"/>
    <cellStyle name="Millares 2 2" xfId="6" xr:uid="{00000000-0005-0000-0000-000002000000}"/>
    <cellStyle name="Millares 3" xfId="4" xr:uid="{00000000-0005-0000-0000-000003000000}"/>
    <cellStyle name="Millares 3 2" xfId="7" xr:uid="{00000000-0005-0000-0000-000004000000}"/>
    <cellStyle name="Millares 4" xfId="5" xr:uid="{00000000-0005-0000-0000-000005000000}"/>
    <cellStyle name="Normal" xfId="0" builtinId="0"/>
    <cellStyle name="Normal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</xdr:colOff>
          <xdr:row>4</xdr:row>
          <xdr:rowOff>30480</xdr:rowOff>
        </xdr:from>
        <xdr:to>
          <xdr:col>3</xdr:col>
          <xdr:colOff>266700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152400</xdr:colOff>
          <xdr:row>10</xdr:row>
          <xdr:rowOff>320040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152400</xdr:colOff>
          <xdr:row>8</xdr:row>
          <xdr:rowOff>320040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84" t="s">
        <v>821</v>
      </c>
      <c r="B1" s="185"/>
      <c r="C1" s="185"/>
      <c r="D1" s="185"/>
      <c r="E1" s="186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784</v>
      </c>
      <c r="C3" s="187" t="s">
        <v>3276</v>
      </c>
      <c r="D3" s="187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787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788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786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785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autoPict="0" listFillRange="datos!B2:B33" r:id="rId11">
            <anchor moveWithCells="1">
              <from>
                <xdr:col>2</xdr:col>
                <xdr:colOff>60960</xdr:colOff>
                <xdr:row>4</xdr:row>
                <xdr:rowOff>30480</xdr:rowOff>
              </from>
              <to>
                <xdr:col>3</xdr:col>
                <xdr:colOff>266700</xdr:colOff>
                <xdr:row>4</xdr:row>
                <xdr:rowOff>312420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1" workbookViewId="0">
      <selection activeCell="A39" sqref="A39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200" t="s">
        <v>534</v>
      </c>
      <c r="B1" s="200"/>
      <c r="C1" s="200"/>
      <c r="D1" s="200"/>
      <c r="E1" s="111"/>
      <c r="F1" s="111"/>
      <c r="G1" s="111"/>
      <c r="H1" s="111"/>
      <c r="I1" s="111"/>
      <c r="J1" s="111"/>
      <c r="K1" s="111"/>
    </row>
    <row r="2" spans="1:11" x14ac:dyDescent="0.3">
      <c r="A2" s="188" t="str">
        <f>ENTE_PUBLICO_A</f>
        <v>ORGANISMO, Gobierno del Estado de Guanajuato (a)</v>
      </c>
      <c r="B2" s="189"/>
      <c r="C2" s="189"/>
      <c r="D2" s="190"/>
    </row>
    <row r="3" spans="1:11" x14ac:dyDescent="0.3">
      <c r="A3" s="191" t="s">
        <v>166</v>
      </c>
      <c r="B3" s="192"/>
      <c r="C3" s="192"/>
      <c r="D3" s="193"/>
    </row>
    <row r="4" spans="1:11" x14ac:dyDescent="0.3">
      <c r="A4" s="194" t="str">
        <f>TRIMESTRE</f>
        <v>Del 1 de enero al 31 de diciembre de 2021 (b)</v>
      </c>
      <c r="B4" s="195"/>
      <c r="C4" s="195"/>
      <c r="D4" s="196"/>
    </row>
    <row r="5" spans="1:11" x14ac:dyDescent="0.3">
      <c r="A5" s="197" t="s">
        <v>118</v>
      </c>
      <c r="B5" s="198"/>
      <c r="C5" s="198"/>
      <c r="D5" s="199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644098554.96000004</v>
      </c>
      <c r="C8" s="154">
        <f>SUM(C9:C11)</f>
        <v>779435115.30999994</v>
      </c>
      <c r="D8" s="40">
        <f t="shared" ref="D8" si="0">SUM(D9:D11)</f>
        <v>779435115.30999994</v>
      </c>
    </row>
    <row r="9" spans="1:11" x14ac:dyDescent="0.3">
      <c r="A9" s="53" t="s">
        <v>169</v>
      </c>
      <c r="B9" s="153">
        <v>470896993.95999998</v>
      </c>
      <c r="C9" s="153">
        <v>605670212.38999999</v>
      </c>
      <c r="D9" s="153">
        <v>605670212.38999999</v>
      </c>
    </row>
    <row r="10" spans="1:11" x14ac:dyDescent="0.3">
      <c r="A10" s="53" t="s">
        <v>170</v>
      </c>
      <c r="B10" s="153">
        <v>173201561</v>
      </c>
      <c r="C10" s="153">
        <v>173764902.91999999</v>
      </c>
      <c r="D10" s="153">
        <v>173764902.91999999</v>
      </c>
    </row>
    <row r="11" spans="1:11" x14ac:dyDescent="0.3">
      <c r="A11" s="53" t="s">
        <v>171</v>
      </c>
      <c r="B11" s="153">
        <v>0</v>
      </c>
      <c r="C11" s="153">
        <v>0</v>
      </c>
      <c r="D11" s="153"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641032673.96000004</v>
      </c>
      <c r="C13" s="154">
        <f>C14+C15</f>
        <v>803062418.80999994</v>
      </c>
      <c r="D13" s="40">
        <f t="shared" ref="D13" si="1">D14+D15</f>
        <v>770834824.03999996</v>
      </c>
    </row>
    <row r="14" spans="1:11" x14ac:dyDescent="0.3">
      <c r="A14" s="53" t="s">
        <v>172</v>
      </c>
      <c r="B14" s="153">
        <v>470896993.95999998</v>
      </c>
      <c r="C14" s="153">
        <v>527397440.10000002</v>
      </c>
      <c r="D14" s="153">
        <v>515003920.17000002</v>
      </c>
    </row>
    <row r="15" spans="1:11" x14ac:dyDescent="0.3">
      <c r="A15" s="53" t="s">
        <v>173</v>
      </c>
      <c r="B15" s="153">
        <v>170135680</v>
      </c>
      <c r="C15" s="153">
        <v>275664978.70999998</v>
      </c>
      <c r="D15" s="153">
        <v>255830903.87</v>
      </c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154">
        <f>C18+C19</f>
        <v>81134892.909999996</v>
      </c>
      <c r="D17" s="40">
        <f>D18+D19</f>
        <v>81134892.909999996</v>
      </c>
    </row>
    <row r="18" spans="1:4" x14ac:dyDescent="0.3">
      <c r="A18" s="53" t="s">
        <v>175</v>
      </c>
      <c r="B18" s="119">
        <v>0</v>
      </c>
      <c r="C18" s="153">
        <v>81134892.909999996</v>
      </c>
      <c r="D18" s="153">
        <v>81134892.909999996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3065881</v>
      </c>
      <c r="C21" s="154">
        <f>C8-C13+C17</f>
        <v>57507589.409999996</v>
      </c>
      <c r="D21" s="40">
        <f t="shared" ref="D21" si="2">D8-D13+D17</f>
        <v>89735184.179999977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3065881</v>
      </c>
      <c r="C23" s="154">
        <f>C21-C11</f>
        <v>57507589.409999996</v>
      </c>
      <c r="D23" s="40">
        <f t="shared" ref="D23" si="3">D21-D11</f>
        <v>89735184.179999977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3065881</v>
      </c>
      <c r="C25" s="154">
        <f>C23-C17</f>
        <v>-23627303.5</v>
      </c>
      <c r="D25" s="40">
        <f>D23-D17</f>
        <v>8600291.2699999809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949635</v>
      </c>
      <c r="C29" s="61">
        <f t="shared" ref="C29:D29" si="4">C30+C31</f>
        <v>668690.82999999996</v>
      </c>
      <c r="D29" s="61">
        <f t="shared" si="4"/>
        <v>668690.82999999996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155">
        <v>949635</v>
      </c>
      <c r="C31" s="155">
        <v>668690.82999999996</v>
      </c>
      <c r="D31" s="155">
        <v>668690.82999999996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4015516</v>
      </c>
      <c r="C33" s="61">
        <f t="shared" ref="C33:D33" si="5">C25+C29</f>
        <v>-22958612.670000002</v>
      </c>
      <c r="D33" s="61">
        <f t="shared" si="5"/>
        <v>9268982.099999981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6">C38+C39</f>
        <v>0</v>
      </c>
      <c r="D37" s="61">
        <f t="shared" si="6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3065881</v>
      </c>
      <c r="C40" s="61">
        <f t="shared" ref="C40:D40" si="7">C41+C42</f>
        <v>3065880.79</v>
      </c>
      <c r="D40" s="61">
        <f t="shared" si="7"/>
        <v>3065880.79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155">
        <v>3065881</v>
      </c>
      <c r="C42" s="155">
        <v>3065880.79</v>
      </c>
      <c r="D42" s="155">
        <v>3065880.79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-3065881</v>
      </c>
      <c r="C44" s="61">
        <f t="shared" ref="C44:D44" si="8">C37-C40</f>
        <v>-3065880.79</v>
      </c>
      <c r="D44" s="61">
        <f t="shared" si="8"/>
        <v>-3065880.79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56">
        <f>B9</f>
        <v>470896993.95999998</v>
      </c>
      <c r="C48" s="124">
        <f>C9</f>
        <v>605670212.38999999</v>
      </c>
      <c r="D48" s="124">
        <f t="shared" ref="D48" si="9">D9</f>
        <v>605670212.38999999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0">C50-C51</f>
        <v>0</v>
      </c>
      <c r="D49" s="61">
        <f t="shared" si="10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470896993.95999998</v>
      </c>
      <c r="C53" s="60">
        <f t="shared" ref="C53:D53" si="11">C14</f>
        <v>527397440.10000002</v>
      </c>
      <c r="D53" s="60">
        <f t="shared" si="11"/>
        <v>515003920.17000002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2">C18</f>
        <v>81134892.909999996</v>
      </c>
      <c r="D55" s="60">
        <f t="shared" si="12"/>
        <v>81134892.909999996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0</v>
      </c>
      <c r="C57" s="61">
        <f>C48+C49-C53+C55</f>
        <v>159407665.19999996</v>
      </c>
      <c r="D57" s="61">
        <f t="shared" ref="D57" si="13">D48+D49-D53+D55</f>
        <v>171801185.12999997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0</v>
      </c>
      <c r="C59" s="61">
        <f t="shared" ref="C59:D59" si="14">C57-C49</f>
        <v>159407665.19999996</v>
      </c>
      <c r="D59" s="61">
        <f t="shared" si="14"/>
        <v>171801185.12999997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173201561</v>
      </c>
      <c r="C63" s="122">
        <f t="shared" ref="C63:D63" si="15">C10</f>
        <v>173764902.91999999</v>
      </c>
      <c r="D63" s="122">
        <f t="shared" si="15"/>
        <v>173764902.91999999</v>
      </c>
    </row>
    <row r="64" spans="1:4" x14ac:dyDescent="0.3">
      <c r="A64" s="127" t="s">
        <v>202</v>
      </c>
      <c r="B64" s="40">
        <f>B65-B66</f>
        <v>-3065881</v>
      </c>
      <c r="C64" s="40">
        <f t="shared" ref="C64:D64" si="16">C65-C66</f>
        <v>-3065880.79</v>
      </c>
      <c r="D64" s="40">
        <f t="shared" si="16"/>
        <v>-3065880.79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153">
        <v>3065881</v>
      </c>
      <c r="C66" s="153">
        <v>3065880.79</v>
      </c>
      <c r="D66" s="153">
        <v>3065880.79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170135680</v>
      </c>
      <c r="C68" s="23">
        <f t="shared" ref="C68:D68" si="17">C15</f>
        <v>275664978.70999998</v>
      </c>
      <c r="D68" s="23">
        <f t="shared" si="17"/>
        <v>255830903.87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19">C63+C64-C68+C70</f>
        <v>-104965956.57999998</v>
      </c>
      <c r="D72" s="40">
        <f t="shared" si="19"/>
        <v>-85131881.74000001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3065881</v>
      </c>
      <c r="C74" s="40">
        <f>C72-C64</f>
        <v>-101900075.78999998</v>
      </c>
      <c r="D74" s="40">
        <f t="shared" ref="D74" si="20">D72-D64</f>
        <v>-82066000.950000003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644098554.96000004</v>
      </c>
      <c r="Q2" s="18">
        <f>'Formato 4'!C8</f>
        <v>779435115.30999994</v>
      </c>
      <c r="R2" s="18">
        <f>'Formato 4'!D8</f>
        <v>779435115.30999994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470896993.95999998</v>
      </c>
      <c r="Q3" s="18">
        <f>'Formato 4'!C9</f>
        <v>605670212.38999999</v>
      </c>
      <c r="R3" s="18">
        <f>'Formato 4'!D9</f>
        <v>605670212.38999999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173201561</v>
      </c>
      <c r="Q4" s="18">
        <f>'Formato 4'!C10</f>
        <v>173764902.91999999</v>
      </c>
      <c r="R4" s="18">
        <f>'Formato 4'!D10</f>
        <v>173764902.91999999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641032673.96000004</v>
      </c>
      <c r="Q6" s="18">
        <f>'Formato 4'!C13</f>
        <v>803062418.80999994</v>
      </c>
      <c r="R6" s="18">
        <f>'Formato 4'!D13</f>
        <v>770834824.03999996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470896993.95999998</v>
      </c>
      <c r="Q7" s="18">
        <f>'Formato 4'!C14</f>
        <v>527397440.10000002</v>
      </c>
      <c r="R7" s="18">
        <f>'Formato 4'!D14</f>
        <v>515003920.17000002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170135680</v>
      </c>
      <c r="Q8" s="18">
        <f>'Formato 4'!C15</f>
        <v>275664978.70999998</v>
      </c>
      <c r="R8" s="18">
        <f>'Formato 4'!D15</f>
        <v>255830903.87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81134892.909999996</v>
      </c>
      <c r="R9" s="18">
        <f>'Formato 4'!D17</f>
        <v>81134892.909999996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81134892.909999996</v>
      </c>
      <c r="R10" s="18">
        <f>'Formato 4'!D18</f>
        <v>81134892.909999996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3065881</v>
      </c>
      <c r="Q12" s="18">
        <f>'Formato 4'!C21</f>
        <v>57507589.409999996</v>
      </c>
      <c r="R12" s="18">
        <f>'Formato 4'!D21</f>
        <v>89735184.179999977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3065881</v>
      </c>
      <c r="Q13" s="18">
        <f>'Formato 4'!C23</f>
        <v>57507589.409999996</v>
      </c>
      <c r="R13" s="18">
        <f>'Formato 4'!D23</f>
        <v>89735184.179999977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3065881</v>
      </c>
      <c r="Q14" s="18">
        <f>'Formato 4'!C25</f>
        <v>-23627303.5</v>
      </c>
      <c r="R14" s="18">
        <f>'Formato 4'!D25</f>
        <v>8600291.2699999809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949635</v>
      </c>
      <c r="Q15">
        <f>'Formato 4'!C29</f>
        <v>668690.82999999996</v>
      </c>
      <c r="R15">
        <f>'Formato 4'!D29</f>
        <v>668690.82999999996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949635</v>
      </c>
      <c r="Q17">
        <f>'Formato 4'!C31</f>
        <v>668690.82999999996</v>
      </c>
      <c r="R17">
        <f>'Formato 4'!D31</f>
        <v>668690.82999999996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4015516</v>
      </c>
      <c r="Q18">
        <f>'Formato 4'!C33</f>
        <v>-22958612.670000002</v>
      </c>
      <c r="R18">
        <f>'Formato 4'!D33</f>
        <v>9268982.099999981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3065881</v>
      </c>
      <c r="Q22">
        <f>'Formato 4'!C40</f>
        <v>3065880.79</v>
      </c>
      <c r="R22">
        <f>'Formato 4'!D40</f>
        <v>3065880.79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3065881</v>
      </c>
      <c r="Q24">
        <f>'Formato 4'!C42</f>
        <v>3065880.79</v>
      </c>
      <c r="R24">
        <f>'Formato 4'!D42</f>
        <v>3065880.79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-3065881</v>
      </c>
      <c r="Q25">
        <f>'Formato 4'!C44</f>
        <v>-3065880.79</v>
      </c>
      <c r="R25">
        <f>'Formato 4'!D44</f>
        <v>-3065880.79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470896993.95999998</v>
      </c>
      <c r="Q26">
        <f>'Formato 4'!C48</f>
        <v>605670212.38999999</v>
      </c>
      <c r="R26">
        <f>'Formato 4'!D48</f>
        <v>605670212.38999999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470896993.95999998</v>
      </c>
      <c r="Q30">
        <f>'Formato 4'!C53</f>
        <v>527397440.10000002</v>
      </c>
      <c r="R30">
        <f>'Formato 4'!D53</f>
        <v>515003920.17000002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81134892.909999996</v>
      </c>
      <c r="R31">
        <f>'Formato 4'!D55</f>
        <v>81134892.909999996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173201561</v>
      </c>
      <c r="Q32">
        <f>'Formato 4'!C63</f>
        <v>173764902.91999999</v>
      </c>
      <c r="R32">
        <f>'Formato 4'!D63</f>
        <v>173764902.91999999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-3065881</v>
      </c>
      <c r="Q33">
        <f>'Formato 4'!C64</f>
        <v>-3065880.79</v>
      </c>
      <c r="R33">
        <f>'Formato 4'!D64</f>
        <v>-3065880.79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3065881</v>
      </c>
      <c r="Q35">
        <f>'Formato 4'!C66</f>
        <v>3065880.79</v>
      </c>
      <c r="R35">
        <f>'Formato 4'!D66</f>
        <v>3065880.79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170135680</v>
      </c>
      <c r="Q36">
        <f>'Formato 4'!C68</f>
        <v>275664978.70999998</v>
      </c>
      <c r="R36">
        <f>'Formato 4'!D68</f>
        <v>255830903.87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-104965956.57999998</v>
      </c>
      <c r="R38">
        <f>'Formato 4'!D72</f>
        <v>-85131881.74000001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3065881</v>
      </c>
      <c r="Q39">
        <f>'Formato 4'!C74</f>
        <v>-101900075.78999998</v>
      </c>
      <c r="R39">
        <f>'Formato 4'!D74</f>
        <v>-82066000.950000003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zoomScale="85" zoomScaleNormal="85" workbookViewId="0">
      <selection activeCell="E13" sqref="E13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206" t="s">
        <v>206</v>
      </c>
      <c r="B1" s="206"/>
      <c r="C1" s="206"/>
      <c r="D1" s="206"/>
      <c r="E1" s="206"/>
      <c r="F1" s="206"/>
      <c r="G1" s="206"/>
    </row>
    <row r="2" spans="1:8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89"/>
      <c r="G2" s="190"/>
    </row>
    <row r="3" spans="1:8" x14ac:dyDescent="0.3">
      <c r="A3" s="191" t="s">
        <v>207</v>
      </c>
      <c r="B3" s="192"/>
      <c r="C3" s="192"/>
      <c r="D3" s="192"/>
      <c r="E3" s="192"/>
      <c r="F3" s="192"/>
      <c r="G3" s="193"/>
    </row>
    <row r="4" spans="1:8" x14ac:dyDescent="0.3">
      <c r="A4" s="194" t="str">
        <f>TRIMESTRE</f>
        <v>Del 1 de enero al 31 de diciembre de 2021 (b)</v>
      </c>
      <c r="B4" s="195"/>
      <c r="C4" s="195"/>
      <c r="D4" s="195"/>
      <c r="E4" s="195"/>
      <c r="F4" s="195"/>
      <c r="G4" s="196"/>
    </row>
    <row r="5" spans="1:8" x14ac:dyDescent="0.3">
      <c r="A5" s="197" t="s">
        <v>118</v>
      </c>
      <c r="B5" s="198"/>
      <c r="C5" s="198"/>
      <c r="D5" s="198"/>
      <c r="E5" s="198"/>
      <c r="F5" s="198"/>
      <c r="G5" s="199"/>
    </row>
    <row r="6" spans="1:8" x14ac:dyDescent="0.3">
      <c r="A6" s="203" t="s">
        <v>214</v>
      </c>
      <c r="B6" s="205" t="s">
        <v>208</v>
      </c>
      <c r="C6" s="205"/>
      <c r="D6" s="205"/>
      <c r="E6" s="205"/>
      <c r="F6" s="205"/>
      <c r="G6" s="205" t="s">
        <v>209</v>
      </c>
    </row>
    <row r="7" spans="1:8" ht="28.8" x14ac:dyDescent="0.3">
      <c r="A7" s="204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205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155">
        <v>85964642.450000003</v>
      </c>
      <c r="C9" s="155">
        <v>19952043.989999998</v>
      </c>
      <c r="D9" s="157">
        <f>B9+C9</f>
        <v>105916686.44</v>
      </c>
      <c r="E9" s="155">
        <v>110054425.79000001</v>
      </c>
      <c r="F9" s="155">
        <v>110054425.79000001</v>
      </c>
      <c r="G9" s="60">
        <f>F9-B9</f>
        <v>24089783.340000004</v>
      </c>
      <c r="H9" s="8"/>
    </row>
    <row r="10" spans="1:8" x14ac:dyDescent="0.3">
      <c r="A10" s="53" t="s">
        <v>217</v>
      </c>
      <c r="B10" s="155">
        <v>0</v>
      </c>
      <c r="C10" s="155">
        <v>0</v>
      </c>
      <c r="D10" s="157">
        <f t="shared" ref="D10:D15" si="0">B10+C10</f>
        <v>0</v>
      </c>
      <c r="E10" s="155">
        <v>0</v>
      </c>
      <c r="F10" s="155">
        <v>0</v>
      </c>
      <c r="G10" s="60">
        <f t="shared" ref="G10:G15" si="1">F10-B10</f>
        <v>0</v>
      </c>
    </row>
    <row r="11" spans="1:8" x14ac:dyDescent="0.3">
      <c r="A11" s="53" t="s">
        <v>218</v>
      </c>
      <c r="B11" s="155">
        <v>0</v>
      </c>
      <c r="C11" s="155">
        <v>0</v>
      </c>
      <c r="D11" s="157">
        <f t="shared" si="0"/>
        <v>0</v>
      </c>
      <c r="E11" s="155">
        <v>0</v>
      </c>
      <c r="F11" s="155">
        <v>0</v>
      </c>
      <c r="G11" s="60">
        <f t="shared" si="1"/>
        <v>0</v>
      </c>
    </row>
    <row r="12" spans="1:8" x14ac:dyDescent="0.3">
      <c r="A12" s="53" t="s">
        <v>219</v>
      </c>
      <c r="B12" s="155">
        <v>93943611</v>
      </c>
      <c r="C12" s="155">
        <v>9060842.1899999995</v>
      </c>
      <c r="D12" s="157">
        <f t="shared" si="0"/>
        <v>103004453.19</v>
      </c>
      <c r="E12" s="155">
        <v>97594620.870000005</v>
      </c>
      <c r="F12" s="155">
        <v>97594620.870000005</v>
      </c>
      <c r="G12" s="60">
        <f t="shared" si="1"/>
        <v>3651009.8700000048</v>
      </c>
    </row>
    <row r="13" spans="1:8" x14ac:dyDescent="0.3">
      <c r="A13" s="53" t="s">
        <v>220</v>
      </c>
      <c r="B13" s="155">
        <v>7532872</v>
      </c>
      <c r="C13" s="155">
        <v>4413655.37</v>
      </c>
      <c r="D13" s="157">
        <f t="shared" si="0"/>
        <v>11946527.370000001</v>
      </c>
      <c r="E13" s="155">
        <f>8635059.54+859045.31</f>
        <v>9494104.8499999996</v>
      </c>
      <c r="F13" s="155">
        <f>8635059.54+859045.31</f>
        <v>9494104.8499999996</v>
      </c>
      <c r="G13" s="151">
        <f>F13-B13</f>
        <v>1961232.8499999996</v>
      </c>
    </row>
    <row r="14" spans="1:8" x14ac:dyDescent="0.3">
      <c r="A14" s="53" t="s">
        <v>221</v>
      </c>
      <c r="B14" s="155">
        <v>13712433.84</v>
      </c>
      <c r="C14" s="155">
        <v>7514204.1799999997</v>
      </c>
      <c r="D14" s="157">
        <f t="shared" si="0"/>
        <v>21226638.02</v>
      </c>
      <c r="E14" s="155">
        <v>22186622.969999999</v>
      </c>
      <c r="F14" s="155">
        <v>22186622.969999999</v>
      </c>
      <c r="G14" s="60">
        <f t="shared" si="1"/>
        <v>8474189.129999999</v>
      </c>
    </row>
    <row r="15" spans="1:8" x14ac:dyDescent="0.3">
      <c r="A15" s="53" t="s">
        <v>222</v>
      </c>
      <c r="B15" s="155">
        <v>0</v>
      </c>
      <c r="C15" s="155">
        <v>0</v>
      </c>
      <c r="D15" s="157">
        <f t="shared" si="0"/>
        <v>0</v>
      </c>
      <c r="E15" s="155">
        <v>0</v>
      </c>
      <c r="F15" s="155">
        <v>0</v>
      </c>
      <c r="G15" s="60">
        <f t="shared" si="1"/>
        <v>0</v>
      </c>
    </row>
    <row r="16" spans="1:8" x14ac:dyDescent="0.3">
      <c r="A16" s="10" t="s">
        <v>275</v>
      </c>
      <c r="B16" s="60">
        <f>SUM(B17:B27)</f>
        <v>259874028.71999997</v>
      </c>
      <c r="C16" s="60">
        <f t="shared" ref="C16:F16" si="2">SUM(C17:C27)</f>
        <v>28369059.84</v>
      </c>
      <c r="D16" s="60">
        <f t="shared" si="2"/>
        <v>288243088.55999994</v>
      </c>
      <c r="E16" s="60">
        <f t="shared" si="2"/>
        <v>307966381.94</v>
      </c>
      <c r="F16" s="60">
        <f t="shared" si="2"/>
        <v>307966381.94</v>
      </c>
      <c r="G16" s="60">
        <f>SUM(G17:G27)</f>
        <v>48092353.219999991</v>
      </c>
    </row>
    <row r="17" spans="1:7" x14ac:dyDescent="0.3">
      <c r="A17" s="63" t="s">
        <v>223</v>
      </c>
      <c r="B17" s="155">
        <v>180742212.75</v>
      </c>
      <c r="C17" s="155">
        <v>5416412.3700000001</v>
      </c>
      <c r="D17" s="157">
        <f t="shared" ref="D17:D27" si="3">B17+C17</f>
        <v>186158625.12</v>
      </c>
      <c r="E17" s="155">
        <v>200407613.13</v>
      </c>
      <c r="F17" s="155">
        <v>200407613.13</v>
      </c>
      <c r="G17" s="60">
        <f>F17-B17</f>
        <v>19665400.379999995</v>
      </c>
    </row>
    <row r="18" spans="1:7" x14ac:dyDescent="0.3">
      <c r="A18" s="63" t="s">
        <v>224</v>
      </c>
      <c r="B18" s="155">
        <v>42819817.140000001</v>
      </c>
      <c r="C18" s="155">
        <v>0</v>
      </c>
      <c r="D18" s="157">
        <f t="shared" si="3"/>
        <v>42819817.140000001</v>
      </c>
      <c r="E18" s="155">
        <v>37607156.789999999</v>
      </c>
      <c r="F18" s="155">
        <v>37607156.789999999</v>
      </c>
      <c r="G18" s="60">
        <f t="shared" ref="G18:G27" si="4">F18-B18</f>
        <v>-5212660.3500000015</v>
      </c>
    </row>
    <row r="19" spans="1:7" x14ac:dyDescent="0.3">
      <c r="A19" s="63" t="s">
        <v>225</v>
      </c>
      <c r="B19" s="155">
        <v>21747994.260000002</v>
      </c>
      <c r="C19" s="155">
        <v>0</v>
      </c>
      <c r="D19" s="157">
        <f t="shared" si="3"/>
        <v>21747994.260000002</v>
      </c>
      <c r="E19" s="155">
        <v>16723078.73</v>
      </c>
      <c r="F19" s="155">
        <v>16723078.73</v>
      </c>
      <c r="G19" s="60">
        <f t="shared" si="4"/>
        <v>-5024915.5300000012</v>
      </c>
    </row>
    <row r="20" spans="1:7" x14ac:dyDescent="0.3">
      <c r="A20" s="63" t="s">
        <v>226</v>
      </c>
      <c r="B20" s="157"/>
      <c r="C20" s="157"/>
      <c r="D20" s="157">
        <f t="shared" si="3"/>
        <v>0</v>
      </c>
      <c r="E20" s="157"/>
      <c r="F20" s="157"/>
      <c r="G20" s="60">
        <f t="shared" si="4"/>
        <v>0</v>
      </c>
    </row>
    <row r="21" spans="1:7" x14ac:dyDescent="0.3">
      <c r="A21" s="63" t="s">
        <v>227</v>
      </c>
      <c r="B21" s="157"/>
      <c r="C21" s="157"/>
      <c r="D21" s="157">
        <f t="shared" si="3"/>
        <v>0</v>
      </c>
      <c r="E21" s="157"/>
      <c r="F21" s="157"/>
      <c r="G21" s="60">
        <f t="shared" si="4"/>
        <v>0</v>
      </c>
    </row>
    <row r="22" spans="1:7" x14ac:dyDescent="0.3">
      <c r="A22" s="63" t="s">
        <v>228</v>
      </c>
      <c r="B22" s="155">
        <v>2122171.65</v>
      </c>
      <c r="C22" s="155">
        <v>470989.77</v>
      </c>
      <c r="D22" s="157">
        <f t="shared" si="3"/>
        <v>2593161.42</v>
      </c>
      <c r="E22" s="155">
        <v>3659434.72</v>
      </c>
      <c r="F22" s="155">
        <v>3659434.72</v>
      </c>
      <c r="G22" s="60">
        <f t="shared" si="4"/>
        <v>1537263.0700000003</v>
      </c>
    </row>
    <row r="23" spans="1:7" x14ac:dyDescent="0.3">
      <c r="A23" s="63" t="s">
        <v>229</v>
      </c>
      <c r="B23" s="157"/>
      <c r="C23" s="157"/>
      <c r="D23" s="157">
        <f t="shared" si="3"/>
        <v>0</v>
      </c>
      <c r="E23" s="157"/>
      <c r="F23" s="157"/>
      <c r="G23" s="60">
        <f t="shared" si="4"/>
        <v>0</v>
      </c>
    </row>
    <row r="24" spans="1:7" x14ac:dyDescent="0.3">
      <c r="A24" s="63" t="s">
        <v>230</v>
      </c>
      <c r="B24" s="157"/>
      <c r="C24" s="157"/>
      <c r="D24" s="157">
        <f t="shared" si="3"/>
        <v>0</v>
      </c>
      <c r="E24" s="157"/>
      <c r="F24" s="157"/>
      <c r="G24" s="60">
        <f t="shared" si="4"/>
        <v>0</v>
      </c>
    </row>
    <row r="25" spans="1:7" x14ac:dyDescent="0.3">
      <c r="A25" s="63" t="s">
        <v>231</v>
      </c>
      <c r="B25" s="155">
        <v>4228280.22</v>
      </c>
      <c r="C25" s="155">
        <v>0</v>
      </c>
      <c r="D25" s="157">
        <f t="shared" si="3"/>
        <v>4228280.22</v>
      </c>
      <c r="E25" s="155">
        <v>4263284.8600000003</v>
      </c>
      <c r="F25" s="155">
        <v>4263284.8600000003</v>
      </c>
      <c r="G25" s="60">
        <f t="shared" si="4"/>
        <v>35004.640000000596</v>
      </c>
    </row>
    <row r="26" spans="1:7" x14ac:dyDescent="0.3">
      <c r="A26" s="63" t="s">
        <v>232</v>
      </c>
      <c r="B26" s="155">
        <v>8213552.7000000002</v>
      </c>
      <c r="C26" s="155">
        <v>22481657.699999999</v>
      </c>
      <c r="D26" s="157">
        <f t="shared" si="3"/>
        <v>30695210.399999999</v>
      </c>
      <c r="E26" s="155">
        <v>45305813.710000001</v>
      </c>
      <c r="F26" s="155">
        <v>45305813.710000001</v>
      </c>
      <c r="G26" s="60">
        <f t="shared" si="4"/>
        <v>37092261.009999998</v>
      </c>
    </row>
    <row r="27" spans="1:7" x14ac:dyDescent="0.3">
      <c r="A27" s="63" t="s">
        <v>233</v>
      </c>
      <c r="B27" s="155">
        <v>0</v>
      </c>
      <c r="C27" s="155">
        <v>0</v>
      </c>
      <c r="D27" s="157">
        <f t="shared" si="3"/>
        <v>0</v>
      </c>
      <c r="E27" s="155">
        <v>0</v>
      </c>
      <c r="F27" s="155">
        <v>0</v>
      </c>
      <c r="G27" s="60">
        <f t="shared" si="4"/>
        <v>0</v>
      </c>
    </row>
    <row r="28" spans="1:7" x14ac:dyDescent="0.3">
      <c r="A28" s="53" t="s">
        <v>234</v>
      </c>
      <c r="B28" s="60">
        <f>SUM(B29:B33)</f>
        <v>5593339.9500000002</v>
      </c>
      <c r="C28" s="60">
        <f t="shared" ref="C28:G28" si="5">SUM(C29:C33)</f>
        <v>744209.52</v>
      </c>
      <c r="D28" s="60">
        <f t="shared" si="5"/>
        <v>6337549.4700000007</v>
      </c>
      <c r="E28" s="60">
        <f t="shared" si="5"/>
        <v>4102566.51</v>
      </c>
      <c r="F28" s="60">
        <f t="shared" si="5"/>
        <v>4102566.51</v>
      </c>
      <c r="G28" s="60">
        <f t="shared" si="5"/>
        <v>-1490773.44</v>
      </c>
    </row>
    <row r="29" spans="1:7" x14ac:dyDescent="0.3">
      <c r="A29" s="63" t="s">
        <v>235</v>
      </c>
      <c r="B29" s="155">
        <v>15086.81</v>
      </c>
      <c r="C29" s="155">
        <v>0</v>
      </c>
      <c r="D29" s="157">
        <f t="shared" ref="D29:D33" si="6">B29+C29</f>
        <v>15086.81</v>
      </c>
      <c r="E29" s="155">
        <v>30082.28</v>
      </c>
      <c r="F29" s="155">
        <v>30082.28</v>
      </c>
      <c r="G29" s="60">
        <f>F29-B29</f>
        <v>14995.47</v>
      </c>
    </row>
    <row r="30" spans="1:7" x14ac:dyDescent="0.3">
      <c r="A30" s="63" t="s">
        <v>236</v>
      </c>
      <c r="B30" s="155">
        <v>2285790.7200000002</v>
      </c>
      <c r="C30" s="155">
        <v>744209.52</v>
      </c>
      <c r="D30" s="157">
        <f t="shared" si="6"/>
        <v>3030000.24</v>
      </c>
      <c r="E30" s="155">
        <v>3628959.45</v>
      </c>
      <c r="F30" s="155">
        <v>3628959.45</v>
      </c>
      <c r="G30" s="60">
        <f>F30-B30</f>
        <v>1343168.73</v>
      </c>
    </row>
    <row r="31" spans="1:7" x14ac:dyDescent="0.3">
      <c r="A31" s="63" t="s">
        <v>237</v>
      </c>
      <c r="B31" s="155">
        <v>0</v>
      </c>
      <c r="C31" s="155">
        <v>0</v>
      </c>
      <c r="D31" s="157">
        <f t="shared" si="6"/>
        <v>0</v>
      </c>
      <c r="E31" s="155">
        <v>0</v>
      </c>
      <c r="F31" s="155">
        <v>0</v>
      </c>
      <c r="G31" s="60">
        <f t="shared" ref="G31:G34" si="7">F31-B31</f>
        <v>0</v>
      </c>
    </row>
    <row r="32" spans="1:7" x14ac:dyDescent="0.3">
      <c r="A32" s="63" t="s">
        <v>238</v>
      </c>
      <c r="B32" s="155">
        <v>3000000</v>
      </c>
      <c r="C32" s="155">
        <v>0</v>
      </c>
      <c r="D32" s="157">
        <f t="shared" si="6"/>
        <v>3000000</v>
      </c>
      <c r="E32" s="155">
        <v>0</v>
      </c>
      <c r="F32" s="155">
        <v>0</v>
      </c>
      <c r="G32" s="60">
        <f t="shared" si="7"/>
        <v>-3000000</v>
      </c>
    </row>
    <row r="33" spans="1:8" x14ac:dyDescent="0.3">
      <c r="A33" s="63" t="s">
        <v>239</v>
      </c>
      <c r="B33" s="155">
        <v>292462.42</v>
      </c>
      <c r="C33" s="155">
        <v>0</v>
      </c>
      <c r="D33" s="157">
        <f t="shared" si="6"/>
        <v>292462.42</v>
      </c>
      <c r="E33" s="155">
        <v>443524.78</v>
      </c>
      <c r="F33" s="155">
        <v>443524.78</v>
      </c>
      <c r="G33" s="60">
        <f t="shared" si="7"/>
        <v>151062.36000000004</v>
      </c>
    </row>
    <row r="34" spans="1:8" x14ac:dyDescent="0.3">
      <c r="A34" s="53" t="s">
        <v>240</v>
      </c>
      <c r="B34" s="155">
        <v>0</v>
      </c>
      <c r="C34" s="155">
        <v>0</v>
      </c>
      <c r="D34" s="157">
        <f>B34+C34</f>
        <v>0</v>
      </c>
      <c r="E34" s="155">
        <v>0</v>
      </c>
      <c r="F34" s="155">
        <v>0</v>
      </c>
      <c r="G34" s="60">
        <f t="shared" si="7"/>
        <v>0</v>
      </c>
    </row>
    <row r="35" spans="1:8" x14ac:dyDescent="0.3">
      <c r="A35" s="53" t="s">
        <v>241</v>
      </c>
      <c r="B35" s="60">
        <f>B36</f>
        <v>4276066</v>
      </c>
      <c r="C35" s="60">
        <f t="shared" ref="C35:F35" si="8">C36</f>
        <v>88607594.079999998</v>
      </c>
      <c r="D35" s="60">
        <f t="shared" si="8"/>
        <v>92883660.079999998</v>
      </c>
      <c r="E35" s="60">
        <f t="shared" si="8"/>
        <v>55130534.770000003</v>
      </c>
      <c r="F35" s="60">
        <f t="shared" si="8"/>
        <v>55130534.770000003</v>
      </c>
      <c r="G35" s="60">
        <f>G36</f>
        <v>50854468.770000003</v>
      </c>
    </row>
    <row r="36" spans="1:8" x14ac:dyDescent="0.3">
      <c r="A36" s="63" t="s">
        <v>242</v>
      </c>
      <c r="B36" s="155">
        <v>4276066</v>
      </c>
      <c r="C36" s="155">
        <v>88607594.079999998</v>
      </c>
      <c r="D36" s="157">
        <f>B36+C36</f>
        <v>92883660.079999998</v>
      </c>
      <c r="E36" s="155">
        <v>55130534.770000003</v>
      </c>
      <c r="F36" s="155">
        <v>55130534.770000003</v>
      </c>
      <c r="G36" s="60">
        <f>F36-B36</f>
        <v>50854468.770000003</v>
      </c>
    </row>
    <row r="37" spans="1:8" x14ac:dyDescent="0.3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3">
      <c r="A38" s="63" t="s">
        <v>244</v>
      </c>
      <c r="B38" s="60"/>
      <c r="C38" s="60"/>
      <c r="D38" s="60"/>
      <c r="E38" s="60"/>
      <c r="F38" s="60"/>
      <c r="G38" s="60">
        <f>F38-B38</f>
        <v>0</v>
      </c>
    </row>
    <row r="39" spans="1:8" x14ac:dyDescent="0.3">
      <c r="A39" s="63" t="s">
        <v>245</v>
      </c>
      <c r="B39" s="60"/>
      <c r="C39" s="60"/>
      <c r="D39" s="60"/>
      <c r="E39" s="60"/>
      <c r="F39" s="60"/>
      <c r="G39" s="60">
        <f>F39-B39</f>
        <v>0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470896993.95999998</v>
      </c>
      <c r="C41" s="150">
        <f>SUM(C9,C10,C11,C12,C13,C14,C15,C16,C28,C34,C35,C37)</f>
        <v>158661609.17000002</v>
      </c>
      <c r="D41" s="61">
        <f t="shared" ref="D41:E41" si="10">SUM(D9,D10,D11,D12,D13,D14,D15,D16,D28,D34,D35,D37)</f>
        <v>629558603.13</v>
      </c>
      <c r="E41" s="61">
        <f t="shared" si="10"/>
        <v>606529257.70000005</v>
      </c>
      <c r="F41" s="61">
        <f>SUM(F9,F10,F11,F12,F13,F14,F15,F16,F28,F34,F35,F37)</f>
        <v>606529257.70000005</v>
      </c>
      <c r="G41" s="150">
        <f>SUM(G9,G10,G11,G12,G13,G14,G15,G16,G28,G34,G35,G37)</f>
        <v>135632263.74000001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135632263.74000001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173201561</v>
      </c>
      <c r="C45" s="60">
        <f t="shared" ref="C45:G45" si="11">SUM(C46:C53)</f>
        <v>-2310323</v>
      </c>
      <c r="D45" s="60">
        <f t="shared" si="11"/>
        <v>170891238</v>
      </c>
      <c r="E45" s="60">
        <f t="shared" si="11"/>
        <v>170891238</v>
      </c>
      <c r="F45" s="60">
        <f t="shared" si="11"/>
        <v>170891238</v>
      </c>
      <c r="G45" s="60">
        <f t="shared" si="11"/>
        <v>-2310323</v>
      </c>
    </row>
    <row r="46" spans="1:8" x14ac:dyDescent="0.3">
      <c r="A46" s="69" t="s">
        <v>249</v>
      </c>
      <c r="B46" s="157"/>
      <c r="C46" s="157"/>
      <c r="D46" s="157">
        <f>B46+C46</f>
        <v>0</v>
      </c>
      <c r="E46" s="157"/>
      <c r="F46" s="157"/>
      <c r="G46" s="60">
        <f>F46-B46</f>
        <v>0</v>
      </c>
    </row>
    <row r="47" spans="1:8" x14ac:dyDescent="0.3">
      <c r="A47" s="69" t="s">
        <v>250</v>
      </c>
      <c r="B47" s="157"/>
      <c r="C47" s="157"/>
      <c r="D47" s="157">
        <f t="shared" ref="D47:D49" si="12">B47+C47</f>
        <v>0</v>
      </c>
      <c r="E47" s="157"/>
      <c r="F47" s="157"/>
      <c r="G47" s="60">
        <f t="shared" ref="G47:G53" si="13">F47-B47</f>
        <v>0</v>
      </c>
    </row>
    <row r="48" spans="1:8" x14ac:dyDescent="0.3">
      <c r="A48" s="69" t="s">
        <v>251</v>
      </c>
      <c r="B48" s="155">
        <v>44957895</v>
      </c>
      <c r="C48" s="155">
        <v>-528766</v>
      </c>
      <c r="D48" s="157">
        <f t="shared" si="12"/>
        <v>44429129</v>
      </c>
      <c r="E48" s="155">
        <v>44429129</v>
      </c>
      <c r="F48" s="155">
        <v>44429129</v>
      </c>
      <c r="G48" s="60">
        <f t="shared" si="13"/>
        <v>-528766</v>
      </c>
    </row>
    <row r="49" spans="1:7" ht="28.8" x14ac:dyDescent="0.3">
      <c r="A49" s="69" t="s">
        <v>252</v>
      </c>
      <c r="B49" s="155">
        <v>128243666</v>
      </c>
      <c r="C49" s="155">
        <v>-1781557</v>
      </c>
      <c r="D49" s="157">
        <f t="shared" si="12"/>
        <v>126462109</v>
      </c>
      <c r="E49" s="155">
        <v>126462109</v>
      </c>
      <c r="F49" s="155">
        <v>126462109</v>
      </c>
      <c r="G49" s="60">
        <f t="shared" si="13"/>
        <v>-1781557</v>
      </c>
    </row>
    <row r="50" spans="1:7" x14ac:dyDescent="0.3">
      <c r="A50" s="69" t="s">
        <v>253</v>
      </c>
      <c r="B50" s="60"/>
      <c r="C50" s="60"/>
      <c r="D50" s="60"/>
      <c r="E50" s="60"/>
      <c r="F50" s="60"/>
      <c r="G50" s="60">
        <f t="shared" si="13"/>
        <v>0</v>
      </c>
    </row>
    <row r="51" spans="1:7" x14ac:dyDescent="0.3">
      <c r="A51" s="69" t="s">
        <v>254</v>
      </c>
      <c r="B51" s="60"/>
      <c r="C51" s="60"/>
      <c r="D51" s="60"/>
      <c r="E51" s="60"/>
      <c r="F51" s="60"/>
      <c r="G51" s="60">
        <f t="shared" si="13"/>
        <v>0</v>
      </c>
    </row>
    <row r="52" spans="1:7" x14ac:dyDescent="0.3">
      <c r="A52" s="48" t="s">
        <v>255</v>
      </c>
      <c r="B52" s="60"/>
      <c r="C52" s="60"/>
      <c r="D52" s="60"/>
      <c r="E52" s="60"/>
      <c r="F52" s="60"/>
      <c r="G52" s="60">
        <f t="shared" si="13"/>
        <v>0</v>
      </c>
    </row>
    <row r="53" spans="1:7" x14ac:dyDescent="0.3">
      <c r="A53" s="63" t="s">
        <v>256</v>
      </c>
      <c r="B53" s="60"/>
      <c r="C53" s="60"/>
      <c r="D53" s="60"/>
      <c r="E53" s="60"/>
      <c r="F53" s="60"/>
      <c r="G53" s="60">
        <f t="shared" si="13"/>
        <v>0</v>
      </c>
    </row>
    <row r="54" spans="1:7" x14ac:dyDescent="0.3">
      <c r="A54" s="53" t="s">
        <v>257</v>
      </c>
      <c r="B54" s="60">
        <f>SUM(B55:B58)</f>
        <v>0</v>
      </c>
      <c r="C54" s="60">
        <f t="shared" ref="C54:G54" si="14">SUM(C55:C58)</f>
        <v>1986023.74</v>
      </c>
      <c r="D54" s="60">
        <f t="shared" si="14"/>
        <v>1986023.74</v>
      </c>
      <c r="E54" s="60">
        <f t="shared" si="14"/>
        <v>2014619.61</v>
      </c>
      <c r="F54" s="60">
        <f t="shared" si="14"/>
        <v>2014619.61</v>
      </c>
      <c r="G54" s="60">
        <f t="shared" si="14"/>
        <v>2014619.61</v>
      </c>
    </row>
    <row r="55" spans="1:7" x14ac:dyDescent="0.3">
      <c r="A55" s="48" t="s">
        <v>258</v>
      </c>
      <c r="B55" s="60"/>
      <c r="C55" s="60"/>
      <c r="D55" s="60"/>
      <c r="E55" s="60"/>
      <c r="F55" s="60"/>
      <c r="G55" s="60">
        <f>F55-B55</f>
        <v>0</v>
      </c>
    </row>
    <row r="56" spans="1:7" x14ac:dyDescent="0.3">
      <c r="A56" s="69" t="s">
        <v>259</v>
      </c>
      <c r="B56" s="60"/>
      <c r="C56" s="60"/>
      <c r="D56" s="60"/>
      <c r="E56" s="60"/>
      <c r="F56" s="60"/>
      <c r="G56" s="60">
        <f t="shared" ref="G56:G58" si="15">F56-B56</f>
        <v>0</v>
      </c>
    </row>
    <row r="57" spans="1:7" x14ac:dyDescent="0.3">
      <c r="A57" s="69" t="s">
        <v>260</v>
      </c>
      <c r="B57" s="60"/>
      <c r="C57" s="60"/>
      <c r="D57" s="60"/>
      <c r="E57" s="60"/>
      <c r="F57" s="60"/>
      <c r="G57" s="60">
        <f t="shared" si="15"/>
        <v>0</v>
      </c>
    </row>
    <row r="58" spans="1:7" x14ac:dyDescent="0.3">
      <c r="A58" s="48" t="s">
        <v>261</v>
      </c>
      <c r="B58" s="155">
        <v>0</v>
      </c>
      <c r="C58" s="155">
        <v>1986023.74</v>
      </c>
      <c r="D58" s="157">
        <f t="shared" ref="D58" si="16">B58+C58</f>
        <v>1986023.74</v>
      </c>
      <c r="E58" s="155">
        <v>2014619.61</v>
      </c>
      <c r="F58" s="155">
        <v>2014619.61</v>
      </c>
      <c r="G58" s="60">
        <f t="shared" si="15"/>
        <v>2014619.61</v>
      </c>
    </row>
    <row r="59" spans="1:7" x14ac:dyDescent="0.3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 x14ac:dyDescent="0.3">
      <c r="A60" s="69" t="s">
        <v>263</v>
      </c>
      <c r="B60" s="155"/>
      <c r="C60" s="155"/>
      <c r="D60" s="157"/>
      <c r="E60" s="155"/>
      <c r="F60" s="155"/>
      <c r="G60" s="60">
        <f>F60-B60</f>
        <v>0</v>
      </c>
    </row>
    <row r="61" spans="1:7" x14ac:dyDescent="0.3">
      <c r="A61" s="69" t="s">
        <v>264</v>
      </c>
      <c r="B61" s="155"/>
      <c r="C61" s="155"/>
      <c r="D61" s="157"/>
      <c r="E61" s="155"/>
      <c r="F61" s="155"/>
      <c r="G61" s="60">
        <f>F61-B61</f>
        <v>0</v>
      </c>
    </row>
    <row r="62" spans="1:7" x14ac:dyDescent="0.3">
      <c r="A62" s="53" t="s">
        <v>265</v>
      </c>
      <c r="B62" s="155"/>
      <c r="C62" s="155"/>
      <c r="D62" s="157"/>
      <c r="E62" s="155"/>
      <c r="F62" s="155"/>
      <c r="G62" s="60">
        <f>F62-B62</f>
        <v>0</v>
      </c>
    </row>
    <row r="63" spans="1:7" x14ac:dyDescent="0.3">
      <c r="A63" s="53" t="s">
        <v>266</v>
      </c>
      <c r="B63" s="155"/>
      <c r="C63" s="155"/>
      <c r="D63" s="157"/>
      <c r="E63" s="155"/>
      <c r="F63" s="157"/>
      <c r="G63" s="60">
        <f>F63-B63</f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150">
        <f>B45+B54+B59+B62+B63</f>
        <v>173201561</v>
      </c>
      <c r="C65" s="150">
        <f>C45+C54+C59+C62+C63</f>
        <v>-324299.26</v>
      </c>
      <c r="D65" s="61">
        <f t="shared" ref="D65:F65" si="18">D45+D54+D59+D62+D63</f>
        <v>172877261.74000001</v>
      </c>
      <c r="E65" s="61">
        <f t="shared" si="18"/>
        <v>172905857.61000001</v>
      </c>
      <c r="F65" s="61">
        <f t="shared" si="18"/>
        <v>172905857.61000001</v>
      </c>
      <c r="G65" s="61">
        <f>G45+G54+G59+G62+G63</f>
        <v>-295703.3899999999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0</v>
      </c>
      <c r="C67" s="150">
        <f>C68</f>
        <v>105017112.97</v>
      </c>
      <c r="D67" s="61">
        <f t="shared" ref="D67:F67" si="19">D68</f>
        <v>105017112.97</v>
      </c>
      <c r="E67" s="61">
        <f t="shared" si="19"/>
        <v>81134892.909999996</v>
      </c>
      <c r="F67" s="61">
        <f t="shared" si="19"/>
        <v>81134892.909999996</v>
      </c>
      <c r="G67" s="183">
        <f>G68</f>
        <v>81134892.909999996</v>
      </c>
    </row>
    <row r="68" spans="1:7" x14ac:dyDescent="0.3">
      <c r="A68" s="53" t="s">
        <v>269</v>
      </c>
      <c r="B68" s="60"/>
      <c r="C68" s="174">
        <v>105017112.97</v>
      </c>
      <c r="D68" s="175">
        <v>105017112.97</v>
      </c>
      <c r="E68" s="176">
        <v>81134892.909999996</v>
      </c>
      <c r="F68" s="177">
        <v>81134892.909999996</v>
      </c>
      <c r="G68" s="173">
        <f>F68-B68</f>
        <v>81134892.909999996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644098554.96000004</v>
      </c>
      <c r="C70" s="150">
        <f>C41+C65+C67</f>
        <v>263354422.88000003</v>
      </c>
      <c r="D70" s="61">
        <f t="shared" ref="D70:E70" si="20">D41+D65+D67</f>
        <v>907452977.84000003</v>
      </c>
      <c r="E70" s="61">
        <f t="shared" si="20"/>
        <v>860570008.22000003</v>
      </c>
      <c r="F70" s="61">
        <f>F41+F65+F67</f>
        <v>860570008.22000003</v>
      </c>
      <c r="G70" s="183">
        <f>G41+G65+G67</f>
        <v>216471453.26000002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60">
        <v>0</v>
      </c>
      <c r="C73" s="178">
        <v>73963511.170000002</v>
      </c>
      <c r="D73" s="152">
        <v>73963511.170000002</v>
      </c>
      <c r="E73" s="180">
        <v>56961893.439999998</v>
      </c>
      <c r="F73" s="152">
        <v>56961893.439999998</v>
      </c>
      <c r="G73" s="157">
        <f t="shared" ref="G73:G74" si="21">F73-B73</f>
        <v>56961893.439999998</v>
      </c>
    </row>
    <row r="74" spans="1:7" x14ac:dyDescent="0.3">
      <c r="A74" s="130" t="s">
        <v>273</v>
      </c>
      <c r="B74" s="60">
        <v>0</v>
      </c>
      <c r="C74" s="179">
        <v>31053601.800000001</v>
      </c>
      <c r="D74" s="152">
        <v>31053601.800000001</v>
      </c>
      <c r="E74" s="181">
        <v>24172999.469999999</v>
      </c>
      <c r="F74" s="152">
        <v>24172999.469999999</v>
      </c>
      <c r="G74" s="157">
        <f t="shared" si="21"/>
        <v>24172999.469999999</v>
      </c>
    </row>
    <row r="75" spans="1:7" x14ac:dyDescent="0.3">
      <c r="A75" s="120" t="s">
        <v>274</v>
      </c>
      <c r="B75" s="61">
        <f>B73+B74</f>
        <v>0</v>
      </c>
      <c r="C75" s="61">
        <f t="shared" ref="C75:G75" si="22">C73+C74</f>
        <v>105017112.97</v>
      </c>
      <c r="D75" s="61">
        <f t="shared" si="22"/>
        <v>105017112.97</v>
      </c>
      <c r="E75" s="61">
        <f t="shared" si="22"/>
        <v>81134892.909999996</v>
      </c>
      <c r="F75" s="61">
        <f t="shared" si="22"/>
        <v>81134892.909999996</v>
      </c>
      <c r="G75" s="61">
        <f t="shared" si="22"/>
        <v>81134892.909999996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85964642.450000003</v>
      </c>
      <c r="Q3" s="18">
        <f>'Formato 5'!C9</f>
        <v>19952043.989999998</v>
      </c>
      <c r="R3" s="18">
        <f>'Formato 5'!D9</f>
        <v>105916686.44</v>
      </c>
      <c r="S3" s="18">
        <f>'Formato 5'!E9</f>
        <v>110054425.79000001</v>
      </c>
      <c r="T3" s="18">
        <f>'Formato 5'!F9</f>
        <v>110054425.79000001</v>
      </c>
      <c r="U3" s="18">
        <f>'Formato 5'!G9</f>
        <v>24089783.340000004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93943611</v>
      </c>
      <c r="Q6" s="18">
        <f>'Formato 5'!C12</f>
        <v>9060842.1899999995</v>
      </c>
      <c r="R6" s="18">
        <f>'Formato 5'!D12</f>
        <v>103004453.19</v>
      </c>
      <c r="S6" s="18">
        <f>'Formato 5'!E12</f>
        <v>97594620.870000005</v>
      </c>
      <c r="T6" s="18">
        <f>'Formato 5'!F12</f>
        <v>97594620.870000005</v>
      </c>
      <c r="U6" s="18">
        <f>'Formato 5'!G12</f>
        <v>3651009.8700000048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7532872</v>
      </c>
      <c r="Q7" s="18">
        <f>'Formato 5'!C13</f>
        <v>4413655.37</v>
      </c>
      <c r="R7" s="18">
        <f>'Formato 5'!D13</f>
        <v>11946527.370000001</v>
      </c>
      <c r="S7" s="18">
        <f>'Formato 5'!E13</f>
        <v>9494104.8499999996</v>
      </c>
      <c r="T7" s="18">
        <f>'Formato 5'!F13</f>
        <v>9494104.8499999996</v>
      </c>
      <c r="U7" s="18">
        <f>'Formato 5'!G13</f>
        <v>1961232.8499999996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13712433.84</v>
      </c>
      <c r="Q8" s="18">
        <f>'Formato 5'!C14</f>
        <v>7514204.1799999997</v>
      </c>
      <c r="R8" s="18">
        <f>'Formato 5'!D14</f>
        <v>21226638.02</v>
      </c>
      <c r="S8" s="18">
        <f>'Formato 5'!E14</f>
        <v>22186622.969999999</v>
      </c>
      <c r="T8" s="18">
        <f>'Formato 5'!F14</f>
        <v>22186622.969999999</v>
      </c>
      <c r="U8" s="18">
        <f>'Formato 5'!G14</f>
        <v>8474189.129999999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259874028.71999997</v>
      </c>
      <c r="Q10" s="18">
        <f>'Formato 5'!C16</f>
        <v>28369059.84</v>
      </c>
      <c r="R10" s="18">
        <f>'Formato 5'!D16</f>
        <v>288243088.55999994</v>
      </c>
      <c r="S10" s="18">
        <f>'Formato 5'!E16</f>
        <v>307966381.94</v>
      </c>
      <c r="T10" s="18">
        <f>'Formato 5'!F16</f>
        <v>307966381.94</v>
      </c>
      <c r="U10" s="18">
        <f>'Formato 5'!G16</f>
        <v>48092353.219999991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180742212.75</v>
      </c>
      <c r="Q11" s="18">
        <f>'Formato 5'!C17</f>
        <v>5416412.3700000001</v>
      </c>
      <c r="R11" s="18">
        <f>'Formato 5'!D17</f>
        <v>186158625.12</v>
      </c>
      <c r="S11" s="18">
        <f>'Formato 5'!E17</f>
        <v>200407613.13</v>
      </c>
      <c r="T11" s="18">
        <f>'Formato 5'!F17</f>
        <v>200407613.13</v>
      </c>
      <c r="U11" s="18">
        <f>'Formato 5'!G17</f>
        <v>19665400.379999995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42819817.140000001</v>
      </c>
      <c r="Q12" s="18">
        <f>'Formato 5'!C18</f>
        <v>0</v>
      </c>
      <c r="R12" s="18">
        <f>'Formato 5'!D18</f>
        <v>42819817.140000001</v>
      </c>
      <c r="S12" s="18">
        <f>'Formato 5'!E18</f>
        <v>37607156.789999999</v>
      </c>
      <c r="T12" s="18">
        <f>'Formato 5'!F18</f>
        <v>37607156.789999999</v>
      </c>
      <c r="U12" s="18">
        <f>'Formato 5'!G18</f>
        <v>-5212660.3500000015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21747994.260000002</v>
      </c>
      <c r="Q13" s="18">
        <f>'Formato 5'!C19</f>
        <v>0</v>
      </c>
      <c r="R13" s="18">
        <f>'Formato 5'!D19</f>
        <v>21747994.260000002</v>
      </c>
      <c r="S13" s="18">
        <f>'Formato 5'!E19</f>
        <v>16723078.73</v>
      </c>
      <c r="T13" s="18">
        <f>'Formato 5'!F19</f>
        <v>16723078.73</v>
      </c>
      <c r="U13" s="18">
        <f>'Formato 5'!G19</f>
        <v>-5024915.5300000012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2122171.65</v>
      </c>
      <c r="Q16" s="18">
        <f>'Formato 5'!C22</f>
        <v>470989.77</v>
      </c>
      <c r="R16" s="18">
        <f>'Formato 5'!D22</f>
        <v>2593161.42</v>
      </c>
      <c r="S16" s="18">
        <f>'Formato 5'!E22</f>
        <v>3659434.72</v>
      </c>
      <c r="T16" s="18">
        <f>'Formato 5'!F22</f>
        <v>3659434.72</v>
      </c>
      <c r="U16" s="18">
        <f>'Formato 5'!G22</f>
        <v>1537263.0700000003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4228280.22</v>
      </c>
      <c r="Q19" s="18">
        <f>'Formato 5'!C25</f>
        <v>0</v>
      </c>
      <c r="R19" s="18">
        <f>'Formato 5'!D25</f>
        <v>4228280.22</v>
      </c>
      <c r="S19" s="18">
        <f>'Formato 5'!E25</f>
        <v>4263284.8600000003</v>
      </c>
      <c r="T19" s="18">
        <f>'Formato 5'!F25</f>
        <v>4263284.8600000003</v>
      </c>
      <c r="U19" s="18">
        <f>'Formato 5'!G25</f>
        <v>35004.640000000596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8213552.7000000002</v>
      </c>
      <c r="Q20" s="18">
        <f>'Formato 5'!C26</f>
        <v>22481657.699999999</v>
      </c>
      <c r="R20" s="18">
        <f>'Formato 5'!D26</f>
        <v>30695210.399999999</v>
      </c>
      <c r="S20" s="18">
        <f>'Formato 5'!E26</f>
        <v>45305813.710000001</v>
      </c>
      <c r="T20" s="18">
        <f>'Formato 5'!F26</f>
        <v>45305813.710000001</v>
      </c>
      <c r="U20" s="18">
        <f>'Formato 5'!G26</f>
        <v>37092261.009999998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5593339.9500000002</v>
      </c>
      <c r="Q22" s="18">
        <f>'Formato 5'!C28</f>
        <v>744209.52</v>
      </c>
      <c r="R22" s="18">
        <f>'Formato 5'!D28</f>
        <v>6337549.4700000007</v>
      </c>
      <c r="S22" s="18">
        <f>'Formato 5'!E28</f>
        <v>4102566.51</v>
      </c>
      <c r="T22" s="18">
        <f>'Formato 5'!F28</f>
        <v>4102566.51</v>
      </c>
      <c r="U22" s="18">
        <f>'Formato 5'!G28</f>
        <v>-1490773.44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15086.81</v>
      </c>
      <c r="Q23" s="18">
        <f>'Formato 5'!C29</f>
        <v>0</v>
      </c>
      <c r="R23" s="18">
        <f>'Formato 5'!D29</f>
        <v>15086.81</v>
      </c>
      <c r="S23" s="18">
        <f>'Formato 5'!E29</f>
        <v>30082.28</v>
      </c>
      <c r="T23" s="18">
        <f>'Formato 5'!F29</f>
        <v>30082.28</v>
      </c>
      <c r="U23" s="18">
        <f>'Formato 5'!G29</f>
        <v>14995.47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2285790.7200000002</v>
      </c>
      <c r="Q24" s="18">
        <f>'Formato 5'!C30</f>
        <v>744209.52</v>
      </c>
      <c r="R24" s="18">
        <f>'Formato 5'!D30</f>
        <v>3030000.24</v>
      </c>
      <c r="S24" s="18">
        <f>'Formato 5'!E30</f>
        <v>3628959.45</v>
      </c>
      <c r="T24" s="18">
        <f>'Formato 5'!F30</f>
        <v>3628959.45</v>
      </c>
      <c r="U24" s="18">
        <f>'Formato 5'!G30</f>
        <v>1343168.73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3000000</v>
      </c>
      <c r="Q26" s="18">
        <f>'Formato 5'!C32</f>
        <v>0</v>
      </c>
      <c r="R26" s="18">
        <f>'Formato 5'!D32</f>
        <v>3000000</v>
      </c>
      <c r="S26" s="18">
        <f>'Formato 5'!E32</f>
        <v>0</v>
      </c>
      <c r="T26" s="18">
        <f>'Formato 5'!F32</f>
        <v>0</v>
      </c>
      <c r="U26" s="18">
        <f>'Formato 5'!G32</f>
        <v>-3000000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292462.42</v>
      </c>
      <c r="Q27" s="18">
        <f>'Formato 5'!C33</f>
        <v>0</v>
      </c>
      <c r="R27" s="18">
        <f>'Formato 5'!D33</f>
        <v>292462.42</v>
      </c>
      <c r="S27" s="18">
        <f>'Formato 5'!E33</f>
        <v>443524.78</v>
      </c>
      <c r="T27" s="18">
        <f>'Formato 5'!F33</f>
        <v>443524.78</v>
      </c>
      <c r="U27" s="18">
        <f>'Formato 5'!G33</f>
        <v>151062.36000000004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4276066</v>
      </c>
      <c r="Q29" s="18">
        <f>'Formato 5'!C35</f>
        <v>88607594.079999998</v>
      </c>
      <c r="R29" s="18">
        <f>'Formato 5'!D35</f>
        <v>92883660.079999998</v>
      </c>
      <c r="S29" s="18">
        <f>'Formato 5'!E35</f>
        <v>55130534.770000003</v>
      </c>
      <c r="T29" s="18">
        <f>'Formato 5'!F35</f>
        <v>55130534.770000003</v>
      </c>
      <c r="U29" s="18">
        <f>'Formato 5'!G35</f>
        <v>50854468.770000003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4276066</v>
      </c>
      <c r="Q30" s="18">
        <f>'Formato 5'!C36</f>
        <v>88607594.079999998</v>
      </c>
      <c r="R30" s="18">
        <f>'Formato 5'!D36</f>
        <v>92883660.079999998</v>
      </c>
      <c r="S30" s="18">
        <f>'Formato 5'!E36</f>
        <v>55130534.770000003</v>
      </c>
      <c r="T30" s="18">
        <f>'Formato 5'!F36</f>
        <v>55130534.770000003</v>
      </c>
      <c r="U30" s="18">
        <f>'Formato 5'!G36</f>
        <v>50854468.770000003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470896993.95999998</v>
      </c>
      <c r="Q34">
        <f>'Formato 5'!C41</f>
        <v>158661609.17000002</v>
      </c>
      <c r="R34">
        <f>'Formato 5'!D41</f>
        <v>629558603.13</v>
      </c>
      <c r="S34">
        <f>'Formato 5'!E41</f>
        <v>606529257.70000005</v>
      </c>
      <c r="T34">
        <f>'Formato 5'!F41</f>
        <v>606529257.70000005</v>
      </c>
      <c r="U34">
        <f>'Formato 5'!G41</f>
        <v>135632263.74000001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135632263.74000001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173201561</v>
      </c>
      <c r="Q37">
        <f>'Formato 5'!C45</f>
        <v>-2310323</v>
      </c>
      <c r="R37">
        <f>'Formato 5'!D45</f>
        <v>170891238</v>
      </c>
      <c r="S37">
        <f>'Formato 5'!E45</f>
        <v>170891238</v>
      </c>
      <c r="T37">
        <f>'Formato 5'!F45</f>
        <v>170891238</v>
      </c>
      <c r="U37">
        <f>'Formato 5'!G45</f>
        <v>-2310323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44957895</v>
      </c>
      <c r="Q40">
        <f>'Formato 5'!C48</f>
        <v>-528766</v>
      </c>
      <c r="R40">
        <f>'Formato 5'!D48</f>
        <v>44429129</v>
      </c>
      <c r="S40">
        <f>'Formato 5'!E48</f>
        <v>44429129</v>
      </c>
      <c r="T40">
        <f>'Formato 5'!F48</f>
        <v>44429129</v>
      </c>
      <c r="U40">
        <f>'Formato 5'!G48</f>
        <v>-528766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128243666</v>
      </c>
      <c r="Q41">
        <f>'Formato 5'!C49</f>
        <v>-1781557</v>
      </c>
      <c r="R41">
        <f>'Formato 5'!D49</f>
        <v>126462109</v>
      </c>
      <c r="S41">
        <f>'Formato 5'!E49</f>
        <v>126462109</v>
      </c>
      <c r="T41">
        <f>'Formato 5'!F49</f>
        <v>126462109</v>
      </c>
      <c r="U41">
        <f>'Formato 5'!G49</f>
        <v>-1781557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1986023.74</v>
      </c>
      <c r="R46">
        <f>'Formato 5'!D54</f>
        <v>1986023.74</v>
      </c>
      <c r="S46">
        <f>'Formato 5'!E54</f>
        <v>2014619.61</v>
      </c>
      <c r="T46">
        <f>'Formato 5'!F54</f>
        <v>2014619.61</v>
      </c>
      <c r="U46">
        <f>'Formato 5'!G54</f>
        <v>2014619.61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1986023.74</v>
      </c>
      <c r="R50">
        <f>'Formato 5'!D58</f>
        <v>1986023.74</v>
      </c>
      <c r="S50">
        <f>'Formato 5'!E58</f>
        <v>2014619.61</v>
      </c>
      <c r="T50">
        <f>'Formato 5'!F58</f>
        <v>2014619.61</v>
      </c>
      <c r="U50">
        <f>'Formato 5'!G58</f>
        <v>2014619.61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173201561</v>
      </c>
      <c r="Q56">
        <f>'Formato 5'!C65</f>
        <v>-324299.26</v>
      </c>
      <c r="R56">
        <f>'Formato 5'!D65</f>
        <v>172877261.74000001</v>
      </c>
      <c r="S56">
        <f>'Formato 5'!E65</f>
        <v>172905857.61000001</v>
      </c>
      <c r="T56">
        <f>'Formato 5'!F65</f>
        <v>172905857.61000001</v>
      </c>
      <c r="U56">
        <f>'Formato 5'!G65</f>
        <v>-295703.3899999999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105017112.97</v>
      </c>
      <c r="R57">
        <f>'Formato 5'!D67</f>
        <v>105017112.97</v>
      </c>
      <c r="S57">
        <f>'Formato 5'!E67</f>
        <v>81134892.909999996</v>
      </c>
      <c r="T57">
        <f>'Formato 5'!F67</f>
        <v>81134892.909999996</v>
      </c>
      <c r="U57">
        <f>'Formato 5'!G67</f>
        <v>81134892.909999996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105017112.97</v>
      </c>
      <c r="R58">
        <f>'Formato 5'!D68</f>
        <v>105017112.97</v>
      </c>
      <c r="S58">
        <f>'Formato 5'!E68</f>
        <v>81134892.909999996</v>
      </c>
      <c r="T58">
        <f>'Formato 5'!F68</f>
        <v>81134892.909999996</v>
      </c>
      <c r="U58">
        <f>'Formato 5'!G68</f>
        <v>81134892.909999996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73963511.170000002</v>
      </c>
      <c r="R60">
        <f>'Formato 5'!D73</f>
        <v>73963511.170000002</v>
      </c>
      <c r="S60">
        <f>'Formato 5'!E73</f>
        <v>56961893.439999998</v>
      </c>
      <c r="T60">
        <f>'Formato 5'!F73</f>
        <v>56961893.439999998</v>
      </c>
      <c r="U60">
        <f>'Formato 5'!G73</f>
        <v>56961893.439999998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31053601.800000001</v>
      </c>
      <c r="R61">
        <f>'Formato 5'!D74</f>
        <v>31053601.800000001</v>
      </c>
      <c r="S61">
        <f>'Formato 5'!E74</f>
        <v>24172999.469999999</v>
      </c>
      <c r="T61">
        <f>'Formato 5'!F74</f>
        <v>24172999.469999999</v>
      </c>
      <c r="U61">
        <f>'Formato 5'!G74</f>
        <v>24172999.469999999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105017112.97</v>
      </c>
      <c r="R62">
        <f>'Formato 5'!D75</f>
        <v>105017112.97</v>
      </c>
      <c r="S62">
        <f>'Formato 5'!E75</f>
        <v>81134892.909999996</v>
      </c>
      <c r="T62">
        <f>'Formato 5'!F75</f>
        <v>81134892.909999996</v>
      </c>
      <c r="U62">
        <f>'Formato 5'!G75</f>
        <v>81134892.909999996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45" zoomScale="120" zoomScaleNormal="120" zoomScalePageLayoutView="90" workbookViewId="0">
      <selection activeCell="D16" sqref="D16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207" t="s">
        <v>3278</v>
      </c>
      <c r="B1" s="206"/>
      <c r="C1" s="206"/>
      <c r="D1" s="206"/>
      <c r="E1" s="206"/>
      <c r="F1" s="206"/>
      <c r="G1" s="206"/>
    </row>
    <row r="2" spans="1:7" x14ac:dyDescent="0.3">
      <c r="A2" s="210" t="str">
        <f>ENTE_PUBLICO_A</f>
        <v>ORGANISMO, Gobierno del Estado de Guanajuato (a)</v>
      </c>
      <c r="B2" s="210"/>
      <c r="C2" s="210"/>
      <c r="D2" s="210"/>
      <c r="E2" s="210"/>
      <c r="F2" s="210"/>
      <c r="G2" s="210"/>
    </row>
    <row r="3" spans="1:7" x14ac:dyDescent="0.3">
      <c r="A3" s="211" t="s">
        <v>277</v>
      </c>
      <c r="B3" s="211"/>
      <c r="C3" s="211"/>
      <c r="D3" s="211"/>
      <c r="E3" s="211"/>
      <c r="F3" s="211"/>
      <c r="G3" s="211"/>
    </row>
    <row r="4" spans="1:7" x14ac:dyDescent="0.3">
      <c r="A4" s="211" t="s">
        <v>278</v>
      </c>
      <c r="B4" s="211"/>
      <c r="C4" s="211"/>
      <c r="D4" s="211"/>
      <c r="E4" s="211"/>
      <c r="F4" s="211"/>
      <c r="G4" s="211"/>
    </row>
    <row r="5" spans="1:7" x14ac:dyDescent="0.3">
      <c r="A5" s="212" t="str">
        <f>TRIMESTRE</f>
        <v>Del 1 de enero al 31 de diciembre de 2021 (b)</v>
      </c>
      <c r="B5" s="212"/>
      <c r="C5" s="212"/>
      <c r="D5" s="212"/>
      <c r="E5" s="212"/>
      <c r="F5" s="212"/>
      <c r="G5" s="212"/>
    </row>
    <row r="6" spans="1:7" x14ac:dyDescent="0.3">
      <c r="A6" s="204" t="s">
        <v>118</v>
      </c>
      <c r="B6" s="204"/>
      <c r="C6" s="204"/>
      <c r="D6" s="204"/>
      <c r="E6" s="204"/>
      <c r="F6" s="204"/>
      <c r="G6" s="204"/>
    </row>
    <row r="7" spans="1:7" ht="15" customHeight="1" x14ac:dyDescent="0.3">
      <c r="A7" s="208" t="s">
        <v>0</v>
      </c>
      <c r="B7" s="208" t="s">
        <v>279</v>
      </c>
      <c r="C7" s="208"/>
      <c r="D7" s="208"/>
      <c r="E7" s="208"/>
      <c r="F7" s="208"/>
      <c r="G7" s="209" t="s">
        <v>280</v>
      </c>
    </row>
    <row r="8" spans="1:7" ht="28.8" x14ac:dyDescent="0.3">
      <c r="A8" s="208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208"/>
    </row>
    <row r="9" spans="1:7" x14ac:dyDescent="0.3">
      <c r="A9" s="82" t="s">
        <v>285</v>
      </c>
      <c r="B9" s="79">
        <f>SUM(B10,B18,B28,B38,B48,B58,B62,B71,B75)</f>
        <v>470896993.95999998</v>
      </c>
      <c r="C9" s="79">
        <f t="shared" ref="C9:G9" si="0">SUM(C10,C18,C28,C38,C48,C58,C62,C71,C75)</f>
        <v>101488404.39</v>
      </c>
      <c r="D9" s="79">
        <f t="shared" si="0"/>
        <v>572385398.35000002</v>
      </c>
      <c r="E9" s="79">
        <f t="shared" si="0"/>
        <v>527397440.0999999</v>
      </c>
      <c r="F9" s="79">
        <f t="shared" si="0"/>
        <v>515003920.17000002</v>
      </c>
      <c r="G9" s="79">
        <f t="shared" si="0"/>
        <v>44987958.250000007</v>
      </c>
    </row>
    <row r="10" spans="1:7" x14ac:dyDescent="0.3">
      <c r="A10" s="83" t="s">
        <v>286</v>
      </c>
      <c r="B10" s="80">
        <f>SUM(B11:B17)</f>
        <v>290389751.95999998</v>
      </c>
      <c r="C10" s="80">
        <f t="shared" ref="C10:F10" si="1">SUM(C11:C17)</f>
        <v>36187342.640000001</v>
      </c>
      <c r="D10" s="80">
        <f t="shared" si="1"/>
        <v>326577094.60000002</v>
      </c>
      <c r="E10" s="80">
        <f t="shared" si="1"/>
        <v>311205290.13999999</v>
      </c>
      <c r="F10" s="80">
        <f t="shared" si="1"/>
        <v>303176195.80000001</v>
      </c>
      <c r="G10" s="80">
        <f>SUM(G11:G17)</f>
        <v>15371804.459999993</v>
      </c>
    </row>
    <row r="11" spans="1:7" x14ac:dyDescent="0.3">
      <c r="A11" s="84" t="s">
        <v>287</v>
      </c>
      <c r="B11" s="158">
        <v>86286393</v>
      </c>
      <c r="C11" s="158">
        <v>84916.08</v>
      </c>
      <c r="D11" s="159">
        <f>B11+C11</f>
        <v>86371309.079999998</v>
      </c>
      <c r="E11" s="158">
        <v>83439174.060000002</v>
      </c>
      <c r="F11" s="158">
        <v>83439174.060000002</v>
      </c>
      <c r="G11" s="80">
        <f>D11-E11</f>
        <v>2932135.0199999958</v>
      </c>
    </row>
    <row r="12" spans="1:7" x14ac:dyDescent="0.3">
      <c r="A12" s="84" t="s">
        <v>288</v>
      </c>
      <c r="B12" s="158">
        <v>16296433</v>
      </c>
      <c r="C12" s="158">
        <v>27374900.620000001</v>
      </c>
      <c r="D12" s="159">
        <f t="shared" ref="D12:D17" si="2">B12+C12</f>
        <v>43671333.620000005</v>
      </c>
      <c r="E12" s="158">
        <v>42102845.579999998</v>
      </c>
      <c r="F12" s="158">
        <v>41842443.869999997</v>
      </c>
      <c r="G12" s="80">
        <f>D12-E12</f>
        <v>1568488.0400000066</v>
      </c>
    </row>
    <row r="13" spans="1:7" x14ac:dyDescent="0.3">
      <c r="A13" s="84" t="s">
        <v>289</v>
      </c>
      <c r="B13" s="158">
        <v>28510765</v>
      </c>
      <c r="C13" s="158">
        <v>6012002.29</v>
      </c>
      <c r="D13" s="159">
        <f t="shared" si="2"/>
        <v>34522767.289999999</v>
      </c>
      <c r="E13" s="158">
        <v>32787046.609999999</v>
      </c>
      <c r="F13" s="158">
        <v>29458655.390000001</v>
      </c>
      <c r="G13" s="80">
        <f t="shared" ref="G13:G17" si="3">D13-E13</f>
        <v>1735720.6799999997</v>
      </c>
    </row>
    <row r="14" spans="1:7" x14ac:dyDescent="0.3">
      <c r="A14" s="84" t="s">
        <v>290</v>
      </c>
      <c r="B14" s="158">
        <v>60349457</v>
      </c>
      <c r="C14" s="158">
        <v>-5222635.37</v>
      </c>
      <c r="D14" s="159">
        <f t="shared" si="2"/>
        <v>55126821.630000003</v>
      </c>
      <c r="E14" s="158">
        <v>49660892.969999999</v>
      </c>
      <c r="F14" s="158">
        <v>49480212.119999997</v>
      </c>
      <c r="G14" s="80">
        <f t="shared" si="3"/>
        <v>5465928.6600000039</v>
      </c>
    </row>
    <row r="15" spans="1:7" x14ac:dyDescent="0.3">
      <c r="A15" s="84" t="s">
        <v>291</v>
      </c>
      <c r="B15" s="158">
        <v>98946703.959999993</v>
      </c>
      <c r="C15" s="158">
        <v>7938159.0199999996</v>
      </c>
      <c r="D15" s="159">
        <f t="shared" si="2"/>
        <v>106884862.97999999</v>
      </c>
      <c r="E15" s="158">
        <v>103215330.92</v>
      </c>
      <c r="F15" s="158">
        <v>98955710.359999999</v>
      </c>
      <c r="G15" s="80">
        <f t="shared" si="3"/>
        <v>3669532.0599999875</v>
      </c>
    </row>
    <row r="16" spans="1:7" x14ac:dyDescent="0.3">
      <c r="A16" s="84" t="s">
        <v>292</v>
      </c>
      <c r="B16" s="159"/>
      <c r="C16" s="159"/>
      <c r="D16" s="159">
        <f t="shared" si="2"/>
        <v>0</v>
      </c>
      <c r="E16" s="159"/>
      <c r="F16" s="159"/>
      <c r="G16" s="80">
        <f t="shared" si="3"/>
        <v>0</v>
      </c>
    </row>
    <row r="17" spans="1:7" x14ac:dyDescent="0.3">
      <c r="A17" s="84" t="s">
        <v>293</v>
      </c>
      <c r="B17" s="159"/>
      <c r="C17" s="159"/>
      <c r="D17" s="159">
        <f t="shared" si="2"/>
        <v>0</v>
      </c>
      <c r="E17" s="159"/>
      <c r="F17" s="159"/>
      <c r="G17" s="80">
        <f t="shared" si="3"/>
        <v>0</v>
      </c>
    </row>
    <row r="18" spans="1:7" x14ac:dyDescent="0.3">
      <c r="A18" s="83" t="s">
        <v>294</v>
      </c>
      <c r="B18" s="80">
        <f>SUM(B19:B27)</f>
        <v>47153109</v>
      </c>
      <c r="C18" s="80">
        <f t="shared" ref="C18:F18" si="4">SUM(C19:C27)</f>
        <v>7974422.1000000015</v>
      </c>
      <c r="D18" s="80">
        <f t="shared" si="4"/>
        <v>55127531.100000001</v>
      </c>
      <c r="E18" s="80">
        <f t="shared" si="4"/>
        <v>51467841.990000002</v>
      </c>
      <c r="F18" s="80">
        <f t="shared" si="4"/>
        <v>51106023.490000002</v>
      </c>
      <c r="G18" s="80">
        <f>SUM(G19:G27)</f>
        <v>3659689.1100000022</v>
      </c>
    </row>
    <row r="19" spans="1:7" x14ac:dyDescent="0.3">
      <c r="A19" s="84" t="s">
        <v>295</v>
      </c>
      <c r="B19" s="158">
        <v>6358402</v>
      </c>
      <c r="C19" s="158">
        <v>-718760.7</v>
      </c>
      <c r="D19" s="159">
        <f t="shared" ref="D19:D27" si="5">B19+C19</f>
        <v>5639641.2999999998</v>
      </c>
      <c r="E19" s="158">
        <v>5180361.43</v>
      </c>
      <c r="F19" s="158">
        <v>5171071.38</v>
      </c>
      <c r="G19" s="80">
        <f>D19-E19</f>
        <v>459279.87000000011</v>
      </c>
    </row>
    <row r="20" spans="1:7" x14ac:dyDescent="0.3">
      <c r="A20" s="84" t="s">
        <v>296</v>
      </c>
      <c r="B20" s="158">
        <v>3629076</v>
      </c>
      <c r="C20" s="158">
        <v>552753.06999999995</v>
      </c>
      <c r="D20" s="159">
        <f t="shared" si="5"/>
        <v>4181829.07</v>
      </c>
      <c r="E20" s="158">
        <v>3776543.6</v>
      </c>
      <c r="F20" s="158">
        <v>3771167.6</v>
      </c>
      <c r="G20" s="80">
        <f t="shared" ref="G20:G27" si="6">D20-E20</f>
        <v>405285.46999999974</v>
      </c>
    </row>
    <row r="21" spans="1:7" x14ac:dyDescent="0.3">
      <c r="A21" s="84" t="s">
        <v>297</v>
      </c>
      <c r="B21" s="159"/>
      <c r="C21" s="159"/>
      <c r="D21" s="159">
        <f t="shared" si="5"/>
        <v>0</v>
      </c>
      <c r="E21" s="159"/>
      <c r="F21" s="159"/>
      <c r="G21" s="80">
        <f t="shared" si="6"/>
        <v>0</v>
      </c>
    </row>
    <row r="22" spans="1:7" x14ac:dyDescent="0.3">
      <c r="A22" s="84" t="s">
        <v>298</v>
      </c>
      <c r="B22" s="158">
        <v>10362586</v>
      </c>
      <c r="C22" s="158">
        <v>-81417.84</v>
      </c>
      <c r="D22" s="159">
        <f t="shared" si="5"/>
        <v>10281168.16</v>
      </c>
      <c r="E22" s="158">
        <v>9854056.1799999997</v>
      </c>
      <c r="F22" s="158">
        <v>9639564</v>
      </c>
      <c r="G22" s="80">
        <f t="shared" si="6"/>
        <v>427111.98000000045</v>
      </c>
    </row>
    <row r="23" spans="1:7" x14ac:dyDescent="0.3">
      <c r="A23" s="84" t="s">
        <v>299</v>
      </c>
      <c r="B23" s="158">
        <v>855626</v>
      </c>
      <c r="C23" s="158">
        <v>170875.76</v>
      </c>
      <c r="D23" s="159">
        <f t="shared" si="5"/>
        <v>1026501.76</v>
      </c>
      <c r="E23" s="158">
        <v>820127.99</v>
      </c>
      <c r="F23" s="158">
        <v>808214.79</v>
      </c>
      <c r="G23" s="80">
        <f t="shared" si="6"/>
        <v>206373.77000000002</v>
      </c>
    </row>
    <row r="24" spans="1:7" x14ac:dyDescent="0.3">
      <c r="A24" s="84" t="s">
        <v>300</v>
      </c>
      <c r="B24" s="158">
        <v>22061590</v>
      </c>
      <c r="C24" s="158">
        <v>8442594.7100000009</v>
      </c>
      <c r="D24" s="159">
        <f t="shared" si="5"/>
        <v>30504184.710000001</v>
      </c>
      <c r="E24" s="158">
        <v>28968399.199999999</v>
      </c>
      <c r="F24" s="158">
        <v>28850898.129999999</v>
      </c>
      <c r="G24" s="80">
        <f t="shared" si="6"/>
        <v>1535785.5100000016</v>
      </c>
    </row>
    <row r="25" spans="1:7" x14ac:dyDescent="0.3">
      <c r="A25" s="84" t="s">
        <v>301</v>
      </c>
      <c r="B25" s="158">
        <v>1892675</v>
      </c>
      <c r="C25" s="158">
        <v>31544.02</v>
      </c>
      <c r="D25" s="159">
        <f t="shared" si="5"/>
        <v>1924219.02</v>
      </c>
      <c r="E25" s="158">
        <v>1689078.53</v>
      </c>
      <c r="F25" s="158">
        <v>1689078.53</v>
      </c>
      <c r="G25" s="80">
        <f t="shared" si="6"/>
        <v>235140.49</v>
      </c>
    </row>
    <row r="26" spans="1:7" x14ac:dyDescent="0.3">
      <c r="A26" s="84" t="s">
        <v>302</v>
      </c>
      <c r="B26" s="158">
        <v>186000</v>
      </c>
      <c r="C26" s="158">
        <v>-114000</v>
      </c>
      <c r="D26" s="159">
        <f t="shared" si="5"/>
        <v>72000</v>
      </c>
      <c r="E26" s="158">
        <v>71164.84</v>
      </c>
      <c r="F26" s="158">
        <v>71164.84</v>
      </c>
      <c r="G26" s="80">
        <f t="shared" si="6"/>
        <v>835.16000000000349</v>
      </c>
    </row>
    <row r="27" spans="1:7" x14ac:dyDescent="0.3">
      <c r="A27" s="84" t="s">
        <v>303</v>
      </c>
      <c r="B27" s="158">
        <v>1807154</v>
      </c>
      <c r="C27" s="158">
        <v>-309166.92</v>
      </c>
      <c r="D27" s="159">
        <f t="shared" si="5"/>
        <v>1497987.08</v>
      </c>
      <c r="E27" s="158">
        <v>1108110.22</v>
      </c>
      <c r="F27" s="158">
        <v>1104864.22</v>
      </c>
      <c r="G27" s="80">
        <f t="shared" si="6"/>
        <v>389876.8600000001</v>
      </c>
    </row>
    <row r="28" spans="1:7" x14ac:dyDescent="0.3">
      <c r="A28" s="83" t="s">
        <v>304</v>
      </c>
      <c r="B28" s="80">
        <f>SUM(B29:B37)</f>
        <v>80941366</v>
      </c>
      <c r="C28" s="80">
        <f t="shared" ref="C28:G28" si="7">SUM(C29:C37)</f>
        <v>28968717.120000001</v>
      </c>
      <c r="D28" s="80">
        <f t="shared" si="7"/>
        <v>109910083.12</v>
      </c>
      <c r="E28" s="80">
        <f t="shared" si="7"/>
        <v>99022811.809999973</v>
      </c>
      <c r="F28" s="80">
        <f t="shared" si="7"/>
        <v>96327946.319999993</v>
      </c>
      <c r="G28" s="80">
        <f t="shared" si="7"/>
        <v>10887271.310000006</v>
      </c>
    </row>
    <row r="29" spans="1:7" x14ac:dyDescent="0.3">
      <c r="A29" s="84" t="s">
        <v>305</v>
      </c>
      <c r="B29" s="158">
        <v>14826678</v>
      </c>
      <c r="C29" s="158">
        <v>11412390.4</v>
      </c>
      <c r="D29" s="159">
        <f t="shared" ref="D29:D37" si="8">B29+C29</f>
        <v>26239068.399999999</v>
      </c>
      <c r="E29" s="158">
        <v>24265879.579999998</v>
      </c>
      <c r="F29" s="158">
        <v>23749699.920000002</v>
      </c>
      <c r="G29" s="80">
        <f>D29-E29</f>
        <v>1973188.8200000003</v>
      </c>
    </row>
    <row r="30" spans="1:7" x14ac:dyDescent="0.3">
      <c r="A30" s="84" t="s">
        <v>306</v>
      </c>
      <c r="B30" s="158">
        <v>5565527</v>
      </c>
      <c r="C30" s="158">
        <v>197236.11</v>
      </c>
      <c r="D30" s="159">
        <f t="shared" si="8"/>
        <v>5762763.1100000003</v>
      </c>
      <c r="E30" s="158">
        <v>5421719.5700000003</v>
      </c>
      <c r="F30" s="158">
        <v>5421719.5700000003</v>
      </c>
      <c r="G30" s="80">
        <f t="shared" ref="G30:G37" si="9">D30-E30</f>
        <v>341043.54000000004</v>
      </c>
    </row>
    <row r="31" spans="1:7" x14ac:dyDescent="0.3">
      <c r="A31" s="84" t="s">
        <v>307</v>
      </c>
      <c r="B31" s="158">
        <v>10342970</v>
      </c>
      <c r="C31" s="158">
        <v>3452680.97</v>
      </c>
      <c r="D31" s="159">
        <f t="shared" si="8"/>
        <v>13795650.970000001</v>
      </c>
      <c r="E31" s="158">
        <v>12232928.15</v>
      </c>
      <c r="F31" s="158">
        <v>10874291.52</v>
      </c>
      <c r="G31" s="80">
        <f t="shared" si="9"/>
        <v>1562722.8200000003</v>
      </c>
    </row>
    <row r="32" spans="1:7" x14ac:dyDescent="0.3">
      <c r="A32" s="84" t="s">
        <v>308</v>
      </c>
      <c r="B32" s="158">
        <v>4159051</v>
      </c>
      <c r="C32" s="158">
        <v>1432971.07</v>
      </c>
      <c r="D32" s="159">
        <f t="shared" si="8"/>
        <v>5592022.0700000003</v>
      </c>
      <c r="E32" s="158">
        <v>5339807.8099999996</v>
      </c>
      <c r="F32" s="158">
        <v>5335029.97</v>
      </c>
      <c r="G32" s="80">
        <f t="shared" si="9"/>
        <v>252214.26000000071</v>
      </c>
    </row>
    <row r="33" spans="1:7" x14ac:dyDescent="0.3">
      <c r="A33" s="84" t="s">
        <v>309</v>
      </c>
      <c r="B33" s="158">
        <v>22832542</v>
      </c>
      <c r="C33" s="158">
        <v>11318679.98</v>
      </c>
      <c r="D33" s="159">
        <f t="shared" si="8"/>
        <v>34151221.980000004</v>
      </c>
      <c r="E33" s="158">
        <v>31789098.649999999</v>
      </c>
      <c r="F33" s="158">
        <v>31103527.300000001</v>
      </c>
      <c r="G33" s="80">
        <f t="shared" si="9"/>
        <v>2362123.3300000057</v>
      </c>
    </row>
    <row r="34" spans="1:7" x14ac:dyDescent="0.3">
      <c r="A34" s="84" t="s">
        <v>310</v>
      </c>
      <c r="B34" s="158">
        <v>7739751</v>
      </c>
      <c r="C34" s="158">
        <v>380089.76</v>
      </c>
      <c r="D34" s="159">
        <f t="shared" si="8"/>
        <v>8119840.7599999998</v>
      </c>
      <c r="E34" s="158">
        <v>7412733.96</v>
      </c>
      <c r="F34" s="158">
        <v>7376947.96</v>
      </c>
      <c r="G34" s="80">
        <f t="shared" si="9"/>
        <v>707106.79999999981</v>
      </c>
    </row>
    <row r="35" spans="1:7" x14ac:dyDescent="0.3">
      <c r="A35" s="84" t="s">
        <v>311</v>
      </c>
      <c r="B35" s="158">
        <v>1120017</v>
      </c>
      <c r="C35" s="158">
        <v>-82821.37</v>
      </c>
      <c r="D35" s="159">
        <f t="shared" si="8"/>
        <v>1037195.63</v>
      </c>
      <c r="E35" s="158">
        <v>414839.08</v>
      </c>
      <c r="F35" s="158">
        <v>414839.08</v>
      </c>
      <c r="G35" s="80">
        <f t="shared" si="9"/>
        <v>622356.55000000005</v>
      </c>
    </row>
    <row r="36" spans="1:7" x14ac:dyDescent="0.3">
      <c r="A36" s="84" t="s">
        <v>312</v>
      </c>
      <c r="B36" s="158">
        <v>7141418</v>
      </c>
      <c r="C36" s="158">
        <v>967197.05</v>
      </c>
      <c r="D36" s="159">
        <f t="shared" si="8"/>
        <v>8108615.0499999998</v>
      </c>
      <c r="E36" s="158">
        <v>6753067.2999999998</v>
      </c>
      <c r="F36" s="158">
        <v>6659153.29</v>
      </c>
      <c r="G36" s="80">
        <f t="shared" si="9"/>
        <v>1355547.75</v>
      </c>
    </row>
    <row r="37" spans="1:7" x14ac:dyDescent="0.3">
      <c r="A37" s="84" t="s">
        <v>313</v>
      </c>
      <c r="B37" s="158">
        <v>7213412</v>
      </c>
      <c r="C37" s="158">
        <v>-109706.85</v>
      </c>
      <c r="D37" s="159">
        <f t="shared" si="8"/>
        <v>7103705.1500000004</v>
      </c>
      <c r="E37" s="158">
        <v>5392737.71</v>
      </c>
      <c r="F37" s="158">
        <v>5392737.71</v>
      </c>
      <c r="G37" s="80">
        <f t="shared" si="9"/>
        <v>1710967.4400000004</v>
      </c>
    </row>
    <row r="38" spans="1:7" x14ac:dyDescent="0.3">
      <c r="A38" s="83" t="s">
        <v>314</v>
      </c>
      <c r="B38" s="80">
        <f>SUM(B39:B47)</f>
        <v>40234511</v>
      </c>
      <c r="C38" s="80">
        <f t="shared" ref="C38:G38" si="10">SUM(C39:C47)</f>
        <v>1776130.3599999999</v>
      </c>
      <c r="D38" s="80">
        <f t="shared" si="10"/>
        <v>42010641.359999999</v>
      </c>
      <c r="E38" s="80">
        <f t="shared" si="10"/>
        <v>40070031.850000001</v>
      </c>
      <c r="F38" s="80">
        <f t="shared" si="10"/>
        <v>40048191.850000001</v>
      </c>
      <c r="G38" s="80">
        <f t="shared" si="10"/>
        <v>1940609.5100000007</v>
      </c>
    </row>
    <row r="39" spans="1:7" x14ac:dyDescent="0.3">
      <c r="A39" s="84" t="s">
        <v>315</v>
      </c>
      <c r="B39" s="158">
        <v>32131299</v>
      </c>
      <c r="C39" s="158">
        <v>869128.14</v>
      </c>
      <c r="D39" s="159">
        <f t="shared" ref="D39:D47" si="11">B39+C39</f>
        <v>33000427.140000001</v>
      </c>
      <c r="E39" s="158">
        <v>33000426.82</v>
      </c>
      <c r="F39" s="158">
        <v>33000426.82</v>
      </c>
      <c r="G39" s="80">
        <f>D39-E39</f>
        <v>0.32000000029802322</v>
      </c>
    </row>
    <row r="40" spans="1:7" x14ac:dyDescent="0.3">
      <c r="A40" s="84" t="s">
        <v>316</v>
      </c>
      <c r="B40" s="159"/>
      <c r="C40" s="159"/>
      <c r="D40" s="159">
        <f t="shared" si="11"/>
        <v>0</v>
      </c>
      <c r="E40" s="159"/>
      <c r="F40" s="159"/>
      <c r="G40" s="80">
        <f t="shared" ref="G40:G47" si="12">D40-E40</f>
        <v>0</v>
      </c>
    </row>
    <row r="41" spans="1:7" x14ac:dyDescent="0.3">
      <c r="A41" s="84" t="s">
        <v>317</v>
      </c>
      <c r="B41" s="158">
        <v>540000</v>
      </c>
      <c r="C41" s="158">
        <v>0</v>
      </c>
      <c r="D41" s="159">
        <f t="shared" si="11"/>
        <v>540000</v>
      </c>
      <c r="E41" s="158">
        <v>540000</v>
      </c>
      <c r="F41" s="158">
        <v>540000</v>
      </c>
      <c r="G41" s="80">
        <f t="shared" si="12"/>
        <v>0</v>
      </c>
    </row>
    <row r="42" spans="1:7" x14ac:dyDescent="0.3">
      <c r="A42" s="84" t="s">
        <v>318</v>
      </c>
      <c r="B42" s="158">
        <v>7563212</v>
      </c>
      <c r="C42" s="158">
        <v>907002.22</v>
      </c>
      <c r="D42" s="159">
        <f t="shared" si="11"/>
        <v>8470214.2200000007</v>
      </c>
      <c r="E42" s="158">
        <v>6529605.0300000003</v>
      </c>
      <c r="F42" s="158">
        <v>6507765.0300000003</v>
      </c>
      <c r="G42" s="80">
        <f t="shared" si="12"/>
        <v>1940609.1900000004</v>
      </c>
    </row>
    <row r="43" spans="1:7" x14ac:dyDescent="0.3">
      <c r="A43" s="84" t="s">
        <v>319</v>
      </c>
      <c r="B43" s="159"/>
      <c r="C43" s="159"/>
      <c r="D43" s="159">
        <f t="shared" si="11"/>
        <v>0</v>
      </c>
      <c r="E43" s="159"/>
      <c r="F43" s="159"/>
      <c r="G43" s="80">
        <f t="shared" si="12"/>
        <v>0</v>
      </c>
    </row>
    <row r="44" spans="1:7" x14ac:dyDescent="0.3">
      <c r="A44" s="84" t="s">
        <v>320</v>
      </c>
      <c r="B44" s="159"/>
      <c r="C44" s="159"/>
      <c r="D44" s="159">
        <f t="shared" si="11"/>
        <v>0</v>
      </c>
      <c r="E44" s="159"/>
      <c r="F44" s="159"/>
      <c r="G44" s="80">
        <f t="shared" si="12"/>
        <v>0</v>
      </c>
    </row>
    <row r="45" spans="1:7" x14ac:dyDescent="0.3">
      <c r="A45" s="84" t="s">
        <v>321</v>
      </c>
      <c r="B45" s="159"/>
      <c r="C45" s="159"/>
      <c r="D45" s="159">
        <f t="shared" si="11"/>
        <v>0</v>
      </c>
      <c r="E45" s="159"/>
      <c r="F45" s="159"/>
      <c r="G45" s="80">
        <f t="shared" si="12"/>
        <v>0</v>
      </c>
    </row>
    <row r="46" spans="1:7" x14ac:dyDescent="0.3">
      <c r="A46" s="84" t="s">
        <v>322</v>
      </c>
      <c r="B46" s="159"/>
      <c r="C46" s="159"/>
      <c r="D46" s="159">
        <f t="shared" si="11"/>
        <v>0</v>
      </c>
      <c r="E46" s="159"/>
      <c r="F46" s="159"/>
      <c r="G46" s="80">
        <f t="shared" si="12"/>
        <v>0</v>
      </c>
    </row>
    <row r="47" spans="1:7" x14ac:dyDescent="0.3">
      <c r="A47" s="84" t="s">
        <v>323</v>
      </c>
      <c r="B47" s="159"/>
      <c r="C47" s="159"/>
      <c r="D47" s="159">
        <f t="shared" si="11"/>
        <v>0</v>
      </c>
      <c r="E47" s="159"/>
      <c r="F47" s="159"/>
      <c r="G47" s="80">
        <f t="shared" si="12"/>
        <v>0</v>
      </c>
    </row>
    <row r="48" spans="1:7" x14ac:dyDescent="0.3">
      <c r="A48" s="83" t="s">
        <v>324</v>
      </c>
      <c r="B48" s="80">
        <f>SUM(B49:B57)</f>
        <v>30000</v>
      </c>
      <c r="C48" s="80">
        <f t="shared" ref="C48:G48" si="13">SUM(C49:C57)</f>
        <v>2453004.62</v>
      </c>
      <c r="D48" s="80">
        <f t="shared" si="13"/>
        <v>2483004.62</v>
      </c>
      <c r="E48" s="80">
        <f t="shared" si="13"/>
        <v>2058635.45</v>
      </c>
      <c r="F48" s="80">
        <f t="shared" si="13"/>
        <v>1766254.2300000002</v>
      </c>
      <c r="G48" s="80">
        <f t="shared" si="13"/>
        <v>424369.17000000004</v>
      </c>
    </row>
    <row r="49" spans="1:7" x14ac:dyDescent="0.3">
      <c r="A49" s="84" t="s">
        <v>325</v>
      </c>
      <c r="B49" s="158">
        <v>30000</v>
      </c>
      <c r="C49" s="158">
        <v>1211728.32</v>
      </c>
      <c r="D49" s="159">
        <f t="shared" ref="D49:D57" si="14">B49+C49</f>
        <v>1241728.32</v>
      </c>
      <c r="E49" s="158">
        <v>1170741.26</v>
      </c>
      <c r="F49" s="158">
        <v>913793.4</v>
      </c>
      <c r="G49" s="80">
        <f>D49-E49</f>
        <v>70987.060000000056</v>
      </c>
    </row>
    <row r="50" spans="1:7" x14ac:dyDescent="0.3">
      <c r="A50" s="84" t="s">
        <v>326</v>
      </c>
      <c r="B50" s="158">
        <v>0</v>
      </c>
      <c r="C50" s="158">
        <v>23000</v>
      </c>
      <c r="D50" s="159">
        <f t="shared" si="14"/>
        <v>23000</v>
      </c>
      <c r="E50" s="158">
        <v>20896.009999999998</v>
      </c>
      <c r="F50" s="158">
        <v>20896.009999999998</v>
      </c>
      <c r="G50" s="80">
        <f t="shared" ref="G50:G57" si="15">D50-E50</f>
        <v>2103.9900000000016</v>
      </c>
    </row>
    <row r="51" spans="1:7" x14ac:dyDescent="0.3">
      <c r="A51" s="84" t="s">
        <v>327</v>
      </c>
      <c r="B51" s="159"/>
      <c r="C51" s="159"/>
      <c r="D51" s="159">
        <f t="shared" si="14"/>
        <v>0</v>
      </c>
      <c r="E51" s="159"/>
      <c r="F51" s="159"/>
      <c r="G51" s="80">
        <f t="shared" si="15"/>
        <v>0</v>
      </c>
    </row>
    <row r="52" spans="1:7" x14ac:dyDescent="0.3">
      <c r="A52" s="84" t="s">
        <v>328</v>
      </c>
      <c r="B52" s="159"/>
      <c r="C52" s="159"/>
      <c r="D52" s="159">
        <f t="shared" si="14"/>
        <v>0</v>
      </c>
      <c r="E52" s="159"/>
      <c r="F52" s="159"/>
      <c r="G52" s="80">
        <f t="shared" si="15"/>
        <v>0</v>
      </c>
    </row>
    <row r="53" spans="1:7" x14ac:dyDescent="0.3">
      <c r="A53" s="84" t="s">
        <v>329</v>
      </c>
      <c r="B53" s="159"/>
      <c r="C53" s="159"/>
      <c r="D53" s="159">
        <f t="shared" si="14"/>
        <v>0</v>
      </c>
      <c r="E53" s="159"/>
      <c r="F53" s="159"/>
      <c r="G53" s="80">
        <f t="shared" si="15"/>
        <v>0</v>
      </c>
    </row>
    <row r="54" spans="1:7" x14ac:dyDescent="0.3">
      <c r="A54" s="84" t="s">
        <v>330</v>
      </c>
      <c r="B54" s="158">
        <v>0</v>
      </c>
      <c r="C54" s="158">
        <v>140000</v>
      </c>
      <c r="D54" s="159">
        <f t="shared" si="14"/>
        <v>140000</v>
      </c>
      <c r="E54" s="158">
        <v>132345</v>
      </c>
      <c r="F54" s="158">
        <v>132345</v>
      </c>
      <c r="G54" s="80">
        <f t="shared" si="15"/>
        <v>7655</v>
      </c>
    </row>
    <row r="55" spans="1:7" x14ac:dyDescent="0.3">
      <c r="A55" s="84" t="s">
        <v>331</v>
      </c>
      <c r="B55" s="159"/>
      <c r="C55" s="159"/>
      <c r="D55" s="159">
        <f t="shared" si="14"/>
        <v>0</v>
      </c>
      <c r="E55" s="159"/>
      <c r="F55" s="159"/>
      <c r="G55" s="80">
        <f t="shared" si="15"/>
        <v>0</v>
      </c>
    </row>
    <row r="56" spans="1:7" x14ac:dyDescent="0.3">
      <c r="A56" s="84" t="s">
        <v>332</v>
      </c>
      <c r="B56" s="158">
        <v>0</v>
      </c>
      <c r="C56" s="158">
        <v>710191.5</v>
      </c>
      <c r="D56" s="159">
        <f t="shared" si="14"/>
        <v>710191.5</v>
      </c>
      <c r="E56" s="158">
        <v>396103.5</v>
      </c>
      <c r="F56" s="158">
        <v>396103.5</v>
      </c>
      <c r="G56" s="80">
        <f t="shared" si="15"/>
        <v>314088</v>
      </c>
    </row>
    <row r="57" spans="1:7" x14ac:dyDescent="0.3">
      <c r="A57" s="84" t="s">
        <v>333</v>
      </c>
      <c r="B57" s="158">
        <v>0</v>
      </c>
      <c r="C57" s="158">
        <v>368084.8</v>
      </c>
      <c r="D57" s="159">
        <f t="shared" si="14"/>
        <v>368084.8</v>
      </c>
      <c r="E57" s="158">
        <v>338549.68</v>
      </c>
      <c r="F57" s="158">
        <v>303116.32</v>
      </c>
      <c r="G57" s="80">
        <f t="shared" si="15"/>
        <v>29535.119999999995</v>
      </c>
    </row>
    <row r="58" spans="1:7" x14ac:dyDescent="0.3">
      <c r="A58" s="83" t="s">
        <v>334</v>
      </c>
      <c r="B58" s="80">
        <f>SUM(B59:B61)</f>
        <v>1150000</v>
      </c>
      <c r="C58" s="80">
        <f t="shared" ref="C58:G58" si="16">SUM(C59:C61)</f>
        <v>29668034.989999998</v>
      </c>
      <c r="D58" s="80">
        <f t="shared" si="16"/>
        <v>30818034.989999998</v>
      </c>
      <c r="E58" s="80">
        <f t="shared" si="16"/>
        <v>20835957.830000002</v>
      </c>
      <c r="F58" s="80">
        <f t="shared" si="16"/>
        <v>19882437.450000003</v>
      </c>
      <c r="G58" s="80">
        <f t="shared" si="16"/>
        <v>9982077.1600000001</v>
      </c>
    </row>
    <row r="59" spans="1:7" x14ac:dyDescent="0.3">
      <c r="A59" s="84" t="s">
        <v>335</v>
      </c>
      <c r="B59" s="158">
        <v>600000</v>
      </c>
      <c r="C59" s="158">
        <v>26382037.59</v>
      </c>
      <c r="D59" s="159">
        <f t="shared" ref="D59:D61" si="17">B59+C59</f>
        <v>26982037.59</v>
      </c>
      <c r="E59" s="158">
        <v>19116719.73</v>
      </c>
      <c r="F59" s="158">
        <v>18541104.510000002</v>
      </c>
      <c r="G59" s="80">
        <f>D59-E59</f>
        <v>7865317.8599999994</v>
      </c>
    </row>
    <row r="60" spans="1:7" x14ac:dyDescent="0.3">
      <c r="A60" s="84" t="s">
        <v>336</v>
      </c>
      <c r="B60" s="158">
        <v>550000</v>
      </c>
      <c r="C60" s="158">
        <v>3285997.4</v>
      </c>
      <c r="D60" s="159">
        <f t="shared" si="17"/>
        <v>3835997.4</v>
      </c>
      <c r="E60" s="158">
        <v>1719238.1</v>
      </c>
      <c r="F60" s="158">
        <v>1341332.94</v>
      </c>
      <c r="G60" s="80">
        <f t="shared" ref="G60:G61" si="18">D60-E60</f>
        <v>2116759.2999999998</v>
      </c>
    </row>
    <row r="61" spans="1:7" x14ac:dyDescent="0.3">
      <c r="A61" s="84" t="s">
        <v>337</v>
      </c>
      <c r="B61" s="159"/>
      <c r="C61" s="159"/>
      <c r="D61" s="159">
        <f t="shared" si="17"/>
        <v>0</v>
      </c>
      <c r="E61" s="159"/>
      <c r="F61" s="159"/>
      <c r="G61" s="80">
        <f t="shared" si="18"/>
        <v>0</v>
      </c>
    </row>
    <row r="62" spans="1:7" x14ac:dyDescent="0.3">
      <c r="A62" s="83" t="s">
        <v>338</v>
      </c>
      <c r="B62" s="80">
        <f>SUM(B63:B67,B69:B70)</f>
        <v>1500000</v>
      </c>
      <c r="C62" s="80">
        <f t="shared" ref="C62:G62" si="19">SUM(C63:C67,C69:C70)</f>
        <v>0</v>
      </c>
      <c r="D62" s="80">
        <f t="shared" si="19"/>
        <v>1500000</v>
      </c>
      <c r="E62" s="80">
        <f t="shared" si="19"/>
        <v>0</v>
      </c>
      <c r="F62" s="80">
        <f t="shared" si="19"/>
        <v>0</v>
      </c>
      <c r="G62" s="80">
        <f t="shared" si="19"/>
        <v>1500000</v>
      </c>
    </row>
    <row r="63" spans="1:7" x14ac:dyDescent="0.3">
      <c r="A63" s="84" t="s">
        <v>339</v>
      </c>
      <c r="B63" s="159"/>
      <c r="C63" s="159"/>
      <c r="D63" s="159">
        <f t="shared" ref="D63:D70" si="20">B63+C63</f>
        <v>0</v>
      </c>
      <c r="E63" s="159"/>
      <c r="F63" s="159"/>
      <c r="G63" s="80">
        <f>D63-E63</f>
        <v>0</v>
      </c>
    </row>
    <row r="64" spans="1:7" x14ac:dyDescent="0.3">
      <c r="A64" s="84" t="s">
        <v>340</v>
      </c>
      <c r="B64" s="159"/>
      <c r="C64" s="159"/>
      <c r="D64" s="159">
        <f t="shared" si="20"/>
        <v>0</v>
      </c>
      <c r="E64" s="159"/>
      <c r="F64" s="159"/>
      <c r="G64" s="80">
        <f t="shared" ref="G64:G70" si="21">D64-E64</f>
        <v>0</v>
      </c>
    </row>
    <row r="65" spans="1:7" x14ac:dyDescent="0.3">
      <c r="A65" s="84" t="s">
        <v>341</v>
      </c>
      <c r="B65" s="159"/>
      <c r="C65" s="159"/>
      <c r="D65" s="159">
        <f t="shared" si="20"/>
        <v>0</v>
      </c>
      <c r="E65" s="159"/>
      <c r="F65" s="159"/>
      <c r="G65" s="80">
        <f t="shared" si="21"/>
        <v>0</v>
      </c>
    </row>
    <row r="66" spans="1:7" x14ac:dyDescent="0.3">
      <c r="A66" s="84" t="s">
        <v>342</v>
      </c>
      <c r="B66" s="159"/>
      <c r="C66" s="159"/>
      <c r="D66" s="159">
        <f t="shared" si="20"/>
        <v>0</v>
      </c>
      <c r="E66" s="159"/>
      <c r="F66" s="159"/>
      <c r="G66" s="80">
        <f t="shared" si="21"/>
        <v>0</v>
      </c>
    </row>
    <row r="67" spans="1:7" x14ac:dyDescent="0.3">
      <c r="A67" s="84" t="s">
        <v>343</v>
      </c>
      <c r="B67" s="159"/>
      <c r="C67" s="159"/>
      <c r="D67" s="159">
        <f t="shared" si="20"/>
        <v>0</v>
      </c>
      <c r="E67" s="159"/>
      <c r="F67" s="159"/>
      <c r="G67" s="80">
        <f t="shared" si="21"/>
        <v>0</v>
      </c>
    </row>
    <row r="68" spans="1:7" x14ac:dyDescent="0.3">
      <c r="A68" s="84" t="s">
        <v>3294</v>
      </c>
      <c r="B68" s="159"/>
      <c r="C68" s="159"/>
      <c r="D68" s="159">
        <f t="shared" si="20"/>
        <v>0</v>
      </c>
      <c r="E68" s="159"/>
      <c r="F68" s="159"/>
      <c r="G68" s="80">
        <f t="shared" si="21"/>
        <v>0</v>
      </c>
    </row>
    <row r="69" spans="1:7" x14ac:dyDescent="0.3">
      <c r="A69" s="84" t="s">
        <v>345</v>
      </c>
      <c r="B69" s="159"/>
      <c r="C69" s="159"/>
      <c r="D69" s="159">
        <f t="shared" si="20"/>
        <v>0</v>
      </c>
      <c r="E69" s="159"/>
      <c r="F69" s="159"/>
      <c r="G69" s="80">
        <f t="shared" si="21"/>
        <v>0</v>
      </c>
    </row>
    <row r="70" spans="1:7" x14ac:dyDescent="0.3">
      <c r="A70" s="84" t="s">
        <v>346</v>
      </c>
      <c r="B70" s="158">
        <v>1500000</v>
      </c>
      <c r="C70" s="158">
        <v>0</v>
      </c>
      <c r="D70" s="159">
        <f t="shared" si="20"/>
        <v>1500000</v>
      </c>
      <c r="E70" s="158">
        <v>0</v>
      </c>
      <c r="F70" s="158">
        <v>0</v>
      </c>
      <c r="G70" s="80">
        <f t="shared" si="21"/>
        <v>1500000</v>
      </c>
    </row>
    <row r="71" spans="1:7" x14ac:dyDescent="0.3">
      <c r="A71" s="83" t="s">
        <v>347</v>
      </c>
      <c r="B71" s="80">
        <f>SUM(B72:B74)</f>
        <v>9498256</v>
      </c>
      <c r="C71" s="80">
        <f t="shared" ref="C71:G71" si="22">SUM(C72:C74)</f>
        <v>-5539247.4400000004</v>
      </c>
      <c r="D71" s="80">
        <f t="shared" si="22"/>
        <v>3959008.5599999996</v>
      </c>
      <c r="E71" s="80">
        <f t="shared" si="22"/>
        <v>2736871.03</v>
      </c>
      <c r="F71" s="80">
        <f t="shared" si="22"/>
        <v>2696871.03</v>
      </c>
      <c r="G71" s="80">
        <f t="shared" si="22"/>
        <v>1222137.5299999998</v>
      </c>
    </row>
    <row r="72" spans="1:7" x14ac:dyDescent="0.3">
      <c r="A72" s="84" t="s">
        <v>348</v>
      </c>
      <c r="B72" s="159"/>
      <c r="C72" s="159"/>
      <c r="D72" s="159">
        <f t="shared" ref="D72:D74" si="23">B72+C72</f>
        <v>0</v>
      </c>
      <c r="E72" s="159"/>
      <c r="F72" s="159"/>
      <c r="G72" s="80">
        <f>D72-E72</f>
        <v>0</v>
      </c>
    </row>
    <row r="73" spans="1:7" x14ac:dyDescent="0.3">
      <c r="A73" s="84" t="s">
        <v>349</v>
      </c>
      <c r="B73" s="159"/>
      <c r="C73" s="159"/>
      <c r="D73" s="159">
        <f t="shared" si="23"/>
        <v>0</v>
      </c>
      <c r="E73" s="159"/>
      <c r="F73" s="159"/>
      <c r="G73" s="80">
        <f t="shared" ref="G73:G74" si="24">D73-E73</f>
        <v>0</v>
      </c>
    </row>
    <row r="74" spans="1:7" x14ac:dyDescent="0.3">
      <c r="A74" s="84" t="s">
        <v>350</v>
      </c>
      <c r="B74" s="158">
        <v>9498256</v>
      </c>
      <c r="C74" s="158">
        <v>-5539247.4400000004</v>
      </c>
      <c r="D74" s="159">
        <f t="shared" si="23"/>
        <v>3959008.5599999996</v>
      </c>
      <c r="E74" s="158">
        <v>2736871.03</v>
      </c>
      <c r="F74" s="158">
        <v>2696871.03</v>
      </c>
      <c r="G74" s="80">
        <f t="shared" si="24"/>
        <v>1222137.5299999998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 x14ac:dyDescent="0.3">
      <c r="A76" s="84" t="s">
        <v>352</v>
      </c>
      <c r="B76" s="159"/>
      <c r="C76" s="159"/>
      <c r="D76" s="159">
        <f t="shared" ref="D76:D82" si="26">B76+C76</f>
        <v>0</v>
      </c>
      <c r="E76" s="159"/>
      <c r="F76" s="159"/>
      <c r="G76" s="80">
        <f>D76-E76</f>
        <v>0</v>
      </c>
    </row>
    <row r="77" spans="1:7" x14ac:dyDescent="0.3">
      <c r="A77" s="84" t="s">
        <v>353</v>
      </c>
      <c r="B77" s="159"/>
      <c r="C77" s="159"/>
      <c r="D77" s="159">
        <f t="shared" si="26"/>
        <v>0</v>
      </c>
      <c r="E77" s="159"/>
      <c r="F77" s="159"/>
      <c r="G77" s="80">
        <f t="shared" ref="G77:G82" si="27">D77-E77</f>
        <v>0</v>
      </c>
    </row>
    <row r="78" spans="1:7" x14ac:dyDescent="0.3">
      <c r="A78" s="84" t="s">
        <v>354</v>
      </c>
      <c r="B78" s="159"/>
      <c r="C78" s="159"/>
      <c r="D78" s="159">
        <f t="shared" si="26"/>
        <v>0</v>
      </c>
      <c r="E78" s="159"/>
      <c r="F78" s="159"/>
      <c r="G78" s="80">
        <f t="shared" si="27"/>
        <v>0</v>
      </c>
    </row>
    <row r="79" spans="1:7" x14ac:dyDescent="0.3">
      <c r="A79" s="84" t="s">
        <v>355</v>
      </c>
      <c r="B79" s="159"/>
      <c r="C79" s="159"/>
      <c r="D79" s="159">
        <f t="shared" si="26"/>
        <v>0</v>
      </c>
      <c r="E79" s="159"/>
      <c r="F79" s="159"/>
      <c r="G79" s="80">
        <f t="shared" si="27"/>
        <v>0</v>
      </c>
    </row>
    <row r="80" spans="1:7" x14ac:dyDescent="0.3">
      <c r="A80" s="84" t="s">
        <v>356</v>
      </c>
      <c r="B80" s="159"/>
      <c r="C80" s="159"/>
      <c r="D80" s="159">
        <f t="shared" si="26"/>
        <v>0</v>
      </c>
      <c r="E80" s="159"/>
      <c r="F80" s="159"/>
      <c r="G80" s="80">
        <f t="shared" si="27"/>
        <v>0</v>
      </c>
    </row>
    <row r="81" spans="1:7" x14ac:dyDescent="0.3">
      <c r="A81" s="84" t="s">
        <v>357</v>
      </c>
      <c r="B81" s="159"/>
      <c r="C81" s="159"/>
      <c r="D81" s="159">
        <f t="shared" si="26"/>
        <v>0</v>
      </c>
      <c r="E81" s="159"/>
      <c r="F81" s="159"/>
      <c r="G81" s="80">
        <f t="shared" si="27"/>
        <v>0</v>
      </c>
    </row>
    <row r="82" spans="1:7" x14ac:dyDescent="0.3">
      <c r="A82" s="84" t="s">
        <v>358</v>
      </c>
      <c r="B82" s="159"/>
      <c r="C82" s="159"/>
      <c r="D82" s="159">
        <f t="shared" si="26"/>
        <v>0</v>
      </c>
      <c r="E82" s="159"/>
      <c r="F82" s="159"/>
      <c r="G82" s="80">
        <f t="shared" si="27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173201561</v>
      </c>
      <c r="C84" s="79">
        <f t="shared" ref="C84:G84" si="28">SUM(C85,C93,C103,C113,C123,C133,C137,C146,C150)</f>
        <v>161866018.49000001</v>
      </c>
      <c r="D84" s="79">
        <f t="shared" si="28"/>
        <v>335067579.49000001</v>
      </c>
      <c r="E84" s="79">
        <f t="shared" si="28"/>
        <v>278730859.5</v>
      </c>
      <c r="F84" s="79">
        <f t="shared" si="28"/>
        <v>258896784.66000003</v>
      </c>
      <c r="G84" s="79">
        <f t="shared" si="28"/>
        <v>56336719.989999995</v>
      </c>
    </row>
    <row r="85" spans="1:7" x14ac:dyDescent="0.3">
      <c r="A85" s="83" t="s">
        <v>286</v>
      </c>
      <c r="B85" s="80">
        <f>SUM(B86:B92)</f>
        <v>103358962</v>
      </c>
      <c r="C85" s="80">
        <f t="shared" ref="C85:G85" si="29">SUM(C86:C92)</f>
        <v>-2191960.3999999994</v>
      </c>
      <c r="D85" s="80">
        <f t="shared" si="29"/>
        <v>101167001.59999999</v>
      </c>
      <c r="E85" s="80">
        <f t="shared" si="29"/>
        <v>101144501.59999999</v>
      </c>
      <c r="F85" s="80">
        <f t="shared" si="29"/>
        <v>99933040.520000011</v>
      </c>
      <c r="G85" s="80">
        <f t="shared" si="29"/>
        <v>22500</v>
      </c>
    </row>
    <row r="86" spans="1:7" x14ac:dyDescent="0.3">
      <c r="A86" s="84" t="s">
        <v>287</v>
      </c>
      <c r="B86" s="158">
        <v>31974782</v>
      </c>
      <c r="C86" s="158">
        <v>-1726457.92</v>
      </c>
      <c r="D86" s="159">
        <f t="shared" ref="D86:D92" si="30">B86+C86</f>
        <v>30248324.079999998</v>
      </c>
      <c r="E86" s="158">
        <v>30248324.079999998</v>
      </c>
      <c r="F86" s="158">
        <v>30248324.079999998</v>
      </c>
      <c r="G86" s="80">
        <f>D86-E86</f>
        <v>0</v>
      </c>
    </row>
    <row r="87" spans="1:7" x14ac:dyDescent="0.3">
      <c r="A87" s="84" t="s">
        <v>288</v>
      </c>
      <c r="B87" s="158">
        <v>4583926</v>
      </c>
      <c r="C87" s="158">
        <v>865000</v>
      </c>
      <c r="D87" s="159">
        <f t="shared" si="30"/>
        <v>5448926</v>
      </c>
      <c r="E87" s="158">
        <v>5448926</v>
      </c>
      <c r="F87" s="158">
        <v>5448926</v>
      </c>
      <c r="G87" s="80">
        <f t="shared" ref="G87:G92" si="31">D87-E87</f>
        <v>0</v>
      </c>
    </row>
    <row r="88" spans="1:7" x14ac:dyDescent="0.3">
      <c r="A88" s="84" t="s">
        <v>289</v>
      </c>
      <c r="B88" s="158">
        <v>11370771</v>
      </c>
      <c r="C88" s="158">
        <v>5579444.0700000003</v>
      </c>
      <c r="D88" s="159">
        <f t="shared" si="30"/>
        <v>16950215.07</v>
      </c>
      <c r="E88" s="158">
        <v>16927715.07</v>
      </c>
      <c r="F88" s="158">
        <v>16272388.08</v>
      </c>
      <c r="G88" s="80">
        <f t="shared" si="31"/>
        <v>22500</v>
      </c>
    </row>
    <row r="89" spans="1:7" x14ac:dyDescent="0.3">
      <c r="A89" s="84" t="s">
        <v>290</v>
      </c>
      <c r="B89" s="158">
        <v>22706356</v>
      </c>
      <c r="C89" s="158">
        <v>-5181832.3499999996</v>
      </c>
      <c r="D89" s="159">
        <f t="shared" si="30"/>
        <v>17524523.649999999</v>
      </c>
      <c r="E89" s="158">
        <v>17524523.649999999</v>
      </c>
      <c r="F89" s="158">
        <v>17524523.649999999</v>
      </c>
      <c r="G89" s="80">
        <f t="shared" si="31"/>
        <v>0</v>
      </c>
    </row>
    <row r="90" spans="1:7" x14ac:dyDescent="0.3">
      <c r="A90" s="84" t="s">
        <v>291</v>
      </c>
      <c r="B90" s="158">
        <v>32723127</v>
      </c>
      <c r="C90" s="158">
        <v>-1728114.2</v>
      </c>
      <c r="D90" s="159">
        <f t="shared" si="30"/>
        <v>30995012.800000001</v>
      </c>
      <c r="E90" s="158">
        <v>30995012.800000001</v>
      </c>
      <c r="F90" s="158">
        <v>30438878.710000001</v>
      </c>
      <c r="G90" s="80">
        <f t="shared" si="31"/>
        <v>0</v>
      </c>
    </row>
    <row r="91" spans="1:7" x14ac:dyDescent="0.3">
      <c r="A91" s="84" t="s">
        <v>292</v>
      </c>
      <c r="B91" s="159"/>
      <c r="C91" s="159"/>
      <c r="D91" s="159">
        <f t="shared" si="30"/>
        <v>0</v>
      </c>
      <c r="E91" s="159"/>
      <c r="F91" s="159"/>
      <c r="G91" s="80">
        <f t="shared" si="31"/>
        <v>0</v>
      </c>
    </row>
    <row r="92" spans="1:7" x14ac:dyDescent="0.3">
      <c r="A92" s="84" t="s">
        <v>293</v>
      </c>
      <c r="B92" s="159"/>
      <c r="C92" s="159"/>
      <c r="D92" s="159">
        <f t="shared" si="30"/>
        <v>0</v>
      </c>
      <c r="E92" s="159"/>
      <c r="F92" s="159"/>
      <c r="G92" s="80">
        <f t="shared" si="31"/>
        <v>0</v>
      </c>
    </row>
    <row r="93" spans="1:7" x14ac:dyDescent="0.3">
      <c r="A93" s="83" t="s">
        <v>294</v>
      </c>
      <c r="B93" s="80">
        <f>SUM(B94:B102)</f>
        <v>6363084</v>
      </c>
      <c r="C93" s="80">
        <f t="shared" ref="C93:G93" si="32">SUM(C94:C102)</f>
        <v>2983062.3699999996</v>
      </c>
      <c r="D93" s="80">
        <f t="shared" si="32"/>
        <v>9346146.370000001</v>
      </c>
      <c r="E93" s="80">
        <f t="shared" si="32"/>
        <v>9087790.0500000007</v>
      </c>
      <c r="F93" s="80">
        <f t="shared" si="32"/>
        <v>9087790.0500000007</v>
      </c>
      <c r="G93" s="80">
        <f t="shared" si="32"/>
        <v>258356.31999999995</v>
      </c>
    </row>
    <row r="94" spans="1:7" x14ac:dyDescent="0.3">
      <c r="A94" s="84" t="s">
        <v>295</v>
      </c>
      <c r="B94" s="159"/>
      <c r="C94" s="159"/>
      <c r="D94" s="159">
        <f t="shared" ref="D94:D102" si="33">B94+C94</f>
        <v>0</v>
      </c>
      <c r="E94" s="159"/>
      <c r="F94" s="159"/>
      <c r="G94" s="80">
        <f>D94-E94</f>
        <v>0</v>
      </c>
    </row>
    <row r="95" spans="1:7" x14ac:dyDescent="0.3">
      <c r="A95" s="84" t="s">
        <v>296</v>
      </c>
      <c r="B95" s="158">
        <v>186433</v>
      </c>
      <c r="C95" s="158">
        <v>601480</v>
      </c>
      <c r="D95" s="159">
        <f t="shared" si="33"/>
        <v>787913</v>
      </c>
      <c r="E95" s="158">
        <v>678245.85</v>
      </c>
      <c r="F95" s="158">
        <v>678245.85</v>
      </c>
      <c r="G95" s="80">
        <f t="shared" ref="G95:G102" si="34">D95-E95</f>
        <v>109667.15000000002</v>
      </c>
    </row>
    <row r="96" spans="1:7" x14ac:dyDescent="0.3">
      <c r="A96" s="84" t="s">
        <v>297</v>
      </c>
      <c r="B96" s="159"/>
      <c r="C96" s="159"/>
      <c r="D96" s="159">
        <f t="shared" si="33"/>
        <v>0</v>
      </c>
      <c r="E96" s="159"/>
      <c r="F96" s="159"/>
      <c r="G96" s="80">
        <f t="shared" si="34"/>
        <v>0</v>
      </c>
    </row>
    <row r="97" spans="1:7" x14ac:dyDescent="0.3">
      <c r="A97" s="84" t="s">
        <v>298</v>
      </c>
      <c r="B97" s="158">
        <v>5400000</v>
      </c>
      <c r="C97" s="158">
        <v>200329.15</v>
      </c>
      <c r="D97" s="159">
        <f t="shared" si="33"/>
        <v>5600329.1500000004</v>
      </c>
      <c r="E97" s="158">
        <v>5600327.9800000004</v>
      </c>
      <c r="F97" s="158">
        <v>5600327.9800000004</v>
      </c>
      <c r="G97" s="80">
        <f t="shared" si="34"/>
        <v>1.1699999999254942</v>
      </c>
    </row>
    <row r="98" spans="1:7" x14ac:dyDescent="0.3">
      <c r="A98" s="42" t="s">
        <v>299</v>
      </c>
      <c r="B98" s="158">
        <v>26080</v>
      </c>
      <c r="C98" s="158">
        <v>-1016.79</v>
      </c>
      <c r="D98" s="159">
        <f t="shared" si="33"/>
        <v>25063.21</v>
      </c>
      <c r="E98" s="158">
        <v>25063.21</v>
      </c>
      <c r="F98" s="158">
        <v>25063.21</v>
      </c>
      <c r="G98" s="80">
        <f t="shared" si="34"/>
        <v>0</v>
      </c>
    </row>
    <row r="99" spans="1:7" x14ac:dyDescent="0.3">
      <c r="A99" s="84" t="s">
        <v>300</v>
      </c>
      <c r="B99" s="158">
        <v>750571</v>
      </c>
      <c r="C99" s="158">
        <v>2182270.0099999998</v>
      </c>
      <c r="D99" s="159">
        <f t="shared" si="33"/>
        <v>2932841.01</v>
      </c>
      <c r="E99" s="158">
        <v>2784153.01</v>
      </c>
      <c r="F99" s="158">
        <v>2784153.01</v>
      </c>
      <c r="G99" s="80">
        <f t="shared" si="34"/>
        <v>148688</v>
      </c>
    </row>
    <row r="100" spans="1:7" x14ac:dyDescent="0.3">
      <c r="A100" s="84" t="s">
        <v>301</v>
      </c>
      <c r="B100" s="159"/>
      <c r="C100" s="159"/>
      <c r="D100" s="159">
        <f t="shared" si="33"/>
        <v>0</v>
      </c>
      <c r="E100" s="159"/>
      <c r="F100" s="159"/>
      <c r="G100" s="80">
        <f t="shared" si="34"/>
        <v>0</v>
      </c>
    </row>
    <row r="101" spans="1:7" x14ac:dyDescent="0.3">
      <c r="A101" s="84" t="s">
        <v>302</v>
      </c>
      <c r="B101" s="159"/>
      <c r="C101" s="159"/>
      <c r="D101" s="159">
        <f t="shared" si="33"/>
        <v>0</v>
      </c>
      <c r="E101" s="159"/>
      <c r="F101" s="159"/>
      <c r="G101" s="80">
        <f t="shared" si="34"/>
        <v>0</v>
      </c>
    </row>
    <row r="102" spans="1:7" x14ac:dyDescent="0.3">
      <c r="A102" s="84" t="s">
        <v>303</v>
      </c>
      <c r="B102" s="159"/>
      <c r="C102" s="159"/>
      <c r="D102" s="159">
        <f t="shared" si="33"/>
        <v>0</v>
      </c>
      <c r="E102" s="159"/>
      <c r="F102" s="159"/>
      <c r="G102" s="80">
        <f t="shared" si="34"/>
        <v>0</v>
      </c>
    </row>
    <row r="103" spans="1:7" x14ac:dyDescent="0.3">
      <c r="A103" s="83" t="s">
        <v>304</v>
      </c>
      <c r="B103" s="80">
        <f>SUM(B104:B112)</f>
        <v>7366000</v>
      </c>
      <c r="C103" s="80">
        <f>SUM(C104:C112)</f>
        <v>16389266.6</v>
      </c>
      <c r="D103" s="80">
        <f t="shared" ref="D103:G103" si="35">SUM(D104:D112)</f>
        <v>23755266.600000001</v>
      </c>
      <c r="E103" s="80">
        <f t="shared" si="35"/>
        <v>23755266.59</v>
      </c>
      <c r="F103" s="80">
        <f t="shared" si="35"/>
        <v>20255597.5</v>
      </c>
      <c r="G103" s="80">
        <f t="shared" si="35"/>
        <v>9.9999997764825821E-3</v>
      </c>
    </row>
    <row r="104" spans="1:7" x14ac:dyDescent="0.3">
      <c r="A104" s="84" t="s">
        <v>305</v>
      </c>
      <c r="B104" s="158">
        <v>7366000</v>
      </c>
      <c r="C104" s="158">
        <v>6316639.75</v>
      </c>
      <c r="D104" s="159">
        <f t="shared" ref="D104:D112" si="36">B104+C104</f>
        <v>13682639.75</v>
      </c>
      <c r="E104" s="158">
        <v>13682639.75</v>
      </c>
      <c r="F104" s="158">
        <v>10842970.65</v>
      </c>
      <c r="G104" s="80">
        <f>D104-E104</f>
        <v>0</v>
      </c>
    </row>
    <row r="105" spans="1:7" x14ac:dyDescent="0.3">
      <c r="A105" s="84" t="s">
        <v>306</v>
      </c>
      <c r="B105" s="158">
        <v>0</v>
      </c>
      <c r="C105" s="158">
        <v>649875</v>
      </c>
      <c r="D105" s="159">
        <f t="shared" si="36"/>
        <v>649875</v>
      </c>
      <c r="E105" s="158">
        <v>649875</v>
      </c>
      <c r="F105" s="158">
        <v>499875</v>
      </c>
      <c r="G105" s="80">
        <f t="shared" ref="G105:G112" si="37">D105-E105</f>
        <v>0</v>
      </c>
    </row>
    <row r="106" spans="1:7" x14ac:dyDescent="0.3">
      <c r="A106" s="84" t="s">
        <v>307</v>
      </c>
      <c r="B106" s="159"/>
      <c r="C106" s="159"/>
      <c r="D106" s="159">
        <f t="shared" si="36"/>
        <v>0</v>
      </c>
      <c r="E106" s="159"/>
      <c r="F106" s="159"/>
      <c r="G106" s="80">
        <f t="shared" si="37"/>
        <v>0</v>
      </c>
    </row>
    <row r="107" spans="1:7" x14ac:dyDescent="0.3">
      <c r="A107" s="84" t="s">
        <v>308</v>
      </c>
      <c r="B107" s="159"/>
      <c r="C107" s="159"/>
      <c r="D107" s="159">
        <f t="shared" si="36"/>
        <v>0</v>
      </c>
      <c r="E107" s="159"/>
      <c r="F107" s="159"/>
      <c r="G107" s="80">
        <f t="shared" si="37"/>
        <v>0</v>
      </c>
    </row>
    <row r="108" spans="1:7" x14ac:dyDescent="0.3">
      <c r="A108" s="84" t="s">
        <v>309</v>
      </c>
      <c r="B108" s="158">
        <v>0</v>
      </c>
      <c r="C108" s="158">
        <v>632076.85</v>
      </c>
      <c r="D108" s="159">
        <f t="shared" si="36"/>
        <v>632076.85</v>
      </c>
      <c r="E108" s="158">
        <v>632076.85</v>
      </c>
      <c r="F108" s="158">
        <v>632076.85</v>
      </c>
      <c r="G108" s="80">
        <f t="shared" si="37"/>
        <v>0</v>
      </c>
    </row>
    <row r="109" spans="1:7" x14ac:dyDescent="0.3">
      <c r="A109" s="84" t="s">
        <v>310</v>
      </c>
      <c r="B109" s="159"/>
      <c r="C109" s="159"/>
      <c r="D109" s="159">
        <f t="shared" si="36"/>
        <v>0</v>
      </c>
      <c r="E109" s="159"/>
      <c r="F109" s="159"/>
      <c r="G109" s="80">
        <f t="shared" si="37"/>
        <v>0</v>
      </c>
    </row>
    <row r="110" spans="1:7" x14ac:dyDescent="0.3">
      <c r="A110" s="84" t="s">
        <v>311</v>
      </c>
      <c r="B110" s="159"/>
      <c r="C110" s="159"/>
      <c r="D110" s="159">
        <f t="shared" si="36"/>
        <v>0</v>
      </c>
      <c r="E110" s="159"/>
      <c r="F110" s="159"/>
      <c r="G110" s="80">
        <f t="shared" si="37"/>
        <v>0</v>
      </c>
    </row>
    <row r="111" spans="1:7" x14ac:dyDescent="0.3">
      <c r="A111" s="84" t="s">
        <v>312</v>
      </c>
      <c r="B111" s="158">
        <v>0</v>
      </c>
      <c r="C111" s="158">
        <v>8790675</v>
      </c>
      <c r="D111" s="159">
        <f t="shared" si="36"/>
        <v>8790675</v>
      </c>
      <c r="E111" s="158">
        <v>8790674.9900000002</v>
      </c>
      <c r="F111" s="158">
        <v>8280675</v>
      </c>
      <c r="G111" s="80">
        <f t="shared" si="37"/>
        <v>9.9999997764825821E-3</v>
      </c>
    </row>
    <row r="112" spans="1:7" x14ac:dyDescent="0.3">
      <c r="A112" s="84" t="s">
        <v>313</v>
      </c>
      <c r="B112" s="159"/>
      <c r="C112" s="159"/>
      <c r="D112" s="159">
        <f t="shared" si="36"/>
        <v>0</v>
      </c>
      <c r="E112" s="159"/>
      <c r="F112" s="159"/>
      <c r="G112" s="80">
        <f t="shared" si="37"/>
        <v>0</v>
      </c>
    </row>
    <row r="113" spans="1:7" x14ac:dyDescent="0.3">
      <c r="A113" s="83" t="s">
        <v>314</v>
      </c>
      <c r="B113" s="80">
        <f>SUM(B114:B122)</f>
        <v>7140104</v>
      </c>
      <c r="C113" s="80">
        <f t="shared" ref="C113:G113" si="38">SUM(C114:C122)</f>
        <v>4977946.07</v>
      </c>
      <c r="D113" s="80">
        <f t="shared" si="38"/>
        <v>12118050.07</v>
      </c>
      <c r="E113" s="80">
        <f t="shared" si="38"/>
        <v>12118050.07</v>
      </c>
      <c r="F113" s="80">
        <f t="shared" si="38"/>
        <v>12118050.07</v>
      </c>
      <c r="G113" s="80">
        <f t="shared" si="38"/>
        <v>0</v>
      </c>
    </row>
    <row r="114" spans="1:7" x14ac:dyDescent="0.3">
      <c r="A114" s="84" t="s">
        <v>315</v>
      </c>
      <c r="B114" s="158">
        <v>2775104</v>
      </c>
      <c r="C114" s="158">
        <v>0</v>
      </c>
      <c r="D114" s="159">
        <f t="shared" ref="D114:D122" si="39">B114+C114</f>
        <v>2775104</v>
      </c>
      <c r="E114" s="158">
        <v>2775104</v>
      </c>
      <c r="F114" s="158">
        <v>2775104</v>
      </c>
      <c r="G114" s="80">
        <f>D114-E114</f>
        <v>0</v>
      </c>
    </row>
    <row r="115" spans="1:7" x14ac:dyDescent="0.3">
      <c r="A115" s="84" t="s">
        <v>316</v>
      </c>
      <c r="B115" s="159"/>
      <c r="C115" s="159"/>
      <c r="D115" s="159">
        <f t="shared" si="39"/>
        <v>0</v>
      </c>
      <c r="E115" s="159"/>
      <c r="F115" s="159"/>
      <c r="G115" s="80">
        <f t="shared" ref="G115:G122" si="40">D115-E115</f>
        <v>0</v>
      </c>
    </row>
    <row r="116" spans="1:7" x14ac:dyDescent="0.3">
      <c r="A116" s="84" t="s">
        <v>317</v>
      </c>
      <c r="B116" s="159"/>
      <c r="C116" s="159"/>
      <c r="D116" s="159">
        <f t="shared" si="39"/>
        <v>0</v>
      </c>
      <c r="E116" s="159"/>
      <c r="F116" s="159"/>
      <c r="G116" s="80">
        <f t="shared" si="40"/>
        <v>0</v>
      </c>
    </row>
    <row r="117" spans="1:7" x14ac:dyDescent="0.3">
      <c r="A117" s="84" t="s">
        <v>318</v>
      </c>
      <c r="B117" s="158">
        <v>4365000</v>
      </c>
      <c r="C117" s="158">
        <v>4977946.07</v>
      </c>
      <c r="D117" s="159">
        <f t="shared" si="39"/>
        <v>9342946.0700000003</v>
      </c>
      <c r="E117" s="158">
        <v>9342946.0700000003</v>
      </c>
      <c r="F117" s="158">
        <v>9342946.0700000003</v>
      </c>
      <c r="G117" s="80">
        <f t="shared" si="40"/>
        <v>0</v>
      </c>
    </row>
    <row r="118" spans="1:7" x14ac:dyDescent="0.3">
      <c r="A118" s="84" t="s">
        <v>319</v>
      </c>
      <c r="B118" s="159"/>
      <c r="C118" s="159"/>
      <c r="D118" s="159">
        <f t="shared" si="39"/>
        <v>0</v>
      </c>
      <c r="E118" s="159"/>
      <c r="F118" s="159"/>
      <c r="G118" s="80">
        <f t="shared" si="40"/>
        <v>0</v>
      </c>
    </row>
    <row r="119" spans="1:7" x14ac:dyDescent="0.3">
      <c r="A119" s="84" t="s">
        <v>320</v>
      </c>
      <c r="B119" s="159"/>
      <c r="C119" s="159"/>
      <c r="D119" s="159">
        <f t="shared" si="39"/>
        <v>0</v>
      </c>
      <c r="E119" s="159"/>
      <c r="F119" s="159"/>
      <c r="G119" s="80">
        <f t="shared" si="40"/>
        <v>0</v>
      </c>
    </row>
    <row r="120" spans="1:7" x14ac:dyDescent="0.3">
      <c r="A120" s="84" t="s">
        <v>321</v>
      </c>
      <c r="B120" s="159"/>
      <c r="C120" s="159"/>
      <c r="D120" s="159">
        <f t="shared" si="39"/>
        <v>0</v>
      </c>
      <c r="E120" s="159"/>
      <c r="F120" s="159"/>
      <c r="G120" s="80">
        <f t="shared" si="40"/>
        <v>0</v>
      </c>
    </row>
    <row r="121" spans="1:7" x14ac:dyDescent="0.3">
      <c r="A121" s="84" t="s">
        <v>322</v>
      </c>
      <c r="B121" s="159"/>
      <c r="C121" s="159"/>
      <c r="D121" s="159">
        <f t="shared" si="39"/>
        <v>0</v>
      </c>
      <c r="E121" s="159"/>
      <c r="F121" s="159"/>
      <c r="G121" s="80">
        <f t="shared" si="40"/>
        <v>0</v>
      </c>
    </row>
    <row r="122" spans="1:7" x14ac:dyDescent="0.3">
      <c r="A122" s="84" t="s">
        <v>323</v>
      </c>
      <c r="B122" s="159"/>
      <c r="C122" s="159"/>
      <c r="D122" s="159">
        <f t="shared" si="39"/>
        <v>0</v>
      </c>
      <c r="E122" s="159"/>
      <c r="F122" s="159"/>
      <c r="G122" s="80">
        <f t="shared" si="40"/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41">SUM(C124:C132)</f>
        <v>205000</v>
      </c>
      <c r="D123" s="80">
        <f t="shared" si="41"/>
        <v>205000</v>
      </c>
      <c r="E123" s="80">
        <f t="shared" si="41"/>
        <v>204954.41</v>
      </c>
      <c r="F123" s="80">
        <f t="shared" si="41"/>
        <v>204954.41</v>
      </c>
      <c r="G123" s="80">
        <f t="shared" si="41"/>
        <v>45.589999999996508</v>
      </c>
    </row>
    <row r="124" spans="1:7" x14ac:dyDescent="0.3">
      <c r="A124" s="84" t="s">
        <v>325</v>
      </c>
      <c r="B124" s="159"/>
      <c r="C124" s="159"/>
      <c r="D124" s="159">
        <f t="shared" ref="D124:D132" si="42">B124+C124</f>
        <v>0</v>
      </c>
      <c r="E124" s="159"/>
      <c r="F124" s="159"/>
      <c r="G124" s="80">
        <f>D124-E124</f>
        <v>0</v>
      </c>
    </row>
    <row r="125" spans="1:7" x14ac:dyDescent="0.3">
      <c r="A125" s="84" t="s">
        <v>326</v>
      </c>
      <c r="B125" s="159"/>
      <c r="C125" s="159"/>
      <c r="D125" s="159">
        <f t="shared" si="42"/>
        <v>0</v>
      </c>
      <c r="E125" s="159"/>
      <c r="F125" s="159"/>
      <c r="G125" s="80">
        <f t="shared" ref="G125:G132" si="43">D125-E125</f>
        <v>0</v>
      </c>
    </row>
    <row r="126" spans="1:7" x14ac:dyDescent="0.3">
      <c r="A126" s="84" t="s">
        <v>327</v>
      </c>
      <c r="B126" s="159"/>
      <c r="C126" s="159"/>
      <c r="D126" s="159">
        <f t="shared" si="42"/>
        <v>0</v>
      </c>
      <c r="E126" s="159"/>
      <c r="F126" s="159"/>
      <c r="G126" s="80">
        <f t="shared" si="43"/>
        <v>0</v>
      </c>
    </row>
    <row r="127" spans="1:7" x14ac:dyDescent="0.3">
      <c r="A127" s="84" t="s">
        <v>328</v>
      </c>
      <c r="B127" s="159"/>
      <c r="C127" s="159"/>
      <c r="D127" s="159">
        <f t="shared" si="42"/>
        <v>0</v>
      </c>
      <c r="E127" s="159"/>
      <c r="F127" s="159"/>
      <c r="G127" s="80">
        <f t="shared" si="43"/>
        <v>0</v>
      </c>
    </row>
    <row r="128" spans="1:7" x14ac:dyDescent="0.3">
      <c r="A128" s="84" t="s">
        <v>329</v>
      </c>
      <c r="B128" s="159"/>
      <c r="C128" s="159"/>
      <c r="D128" s="159">
        <f t="shared" si="42"/>
        <v>0</v>
      </c>
      <c r="E128" s="159"/>
      <c r="F128" s="159"/>
      <c r="G128" s="80">
        <f t="shared" si="43"/>
        <v>0</v>
      </c>
    </row>
    <row r="129" spans="1:7" x14ac:dyDescent="0.3">
      <c r="A129" s="84" t="s">
        <v>330</v>
      </c>
      <c r="B129" s="158">
        <v>0</v>
      </c>
      <c r="C129" s="158">
        <v>205000</v>
      </c>
      <c r="D129" s="159">
        <f t="shared" si="42"/>
        <v>205000</v>
      </c>
      <c r="E129" s="158">
        <v>204954.41</v>
      </c>
      <c r="F129" s="158">
        <v>204954.41</v>
      </c>
      <c r="G129" s="80">
        <f t="shared" si="43"/>
        <v>45.589999999996508</v>
      </c>
    </row>
    <row r="130" spans="1:7" x14ac:dyDescent="0.3">
      <c r="A130" s="84" t="s">
        <v>331</v>
      </c>
      <c r="B130" s="159"/>
      <c r="C130" s="159"/>
      <c r="D130" s="159">
        <f t="shared" si="42"/>
        <v>0</v>
      </c>
      <c r="E130" s="159"/>
      <c r="F130" s="159"/>
      <c r="G130" s="80">
        <f t="shared" si="43"/>
        <v>0</v>
      </c>
    </row>
    <row r="131" spans="1:7" x14ac:dyDescent="0.3">
      <c r="A131" s="84" t="s">
        <v>332</v>
      </c>
      <c r="B131" s="159"/>
      <c r="C131" s="159"/>
      <c r="D131" s="159">
        <f t="shared" si="42"/>
        <v>0</v>
      </c>
      <c r="E131" s="159"/>
      <c r="F131" s="159"/>
      <c r="G131" s="80">
        <f t="shared" si="43"/>
        <v>0</v>
      </c>
    </row>
    <row r="132" spans="1:7" x14ac:dyDescent="0.3">
      <c r="A132" s="84" t="s">
        <v>333</v>
      </c>
      <c r="B132" s="159"/>
      <c r="C132" s="159"/>
      <c r="D132" s="159">
        <f t="shared" si="42"/>
        <v>0</v>
      </c>
      <c r="E132" s="159"/>
      <c r="F132" s="159"/>
      <c r="G132" s="80">
        <f t="shared" si="43"/>
        <v>0</v>
      </c>
    </row>
    <row r="133" spans="1:7" x14ac:dyDescent="0.3">
      <c r="A133" s="83" t="s">
        <v>334</v>
      </c>
      <c r="B133" s="80">
        <f>SUM(B134:B136)</f>
        <v>44957895</v>
      </c>
      <c r="C133" s="80">
        <f t="shared" ref="C133:G133" si="44">SUM(C134:C136)</f>
        <v>139783648.22999999</v>
      </c>
      <c r="D133" s="80">
        <f t="shared" si="44"/>
        <v>184741543.22999999</v>
      </c>
      <c r="E133" s="80">
        <f t="shared" si="44"/>
        <v>128685725.16</v>
      </c>
      <c r="F133" s="80">
        <f t="shared" si="44"/>
        <v>113562780.49000001</v>
      </c>
      <c r="G133" s="80">
        <f t="shared" si="44"/>
        <v>56055818.069999993</v>
      </c>
    </row>
    <row r="134" spans="1:7" x14ac:dyDescent="0.3">
      <c r="A134" s="84" t="s">
        <v>335</v>
      </c>
      <c r="B134" s="158">
        <v>44957895</v>
      </c>
      <c r="C134" s="158">
        <v>135949566.88</v>
      </c>
      <c r="D134" s="159">
        <f t="shared" ref="D134:D136" si="45">B134+C134</f>
        <v>180907461.88</v>
      </c>
      <c r="E134" s="158">
        <v>126441409.31</v>
      </c>
      <c r="F134" s="158">
        <v>112200243.31</v>
      </c>
      <c r="G134" s="80">
        <f>D134-E134</f>
        <v>54466052.569999993</v>
      </c>
    </row>
    <row r="135" spans="1:7" x14ac:dyDescent="0.3">
      <c r="A135" s="84" t="s">
        <v>336</v>
      </c>
      <c r="B135" s="158">
        <v>0</v>
      </c>
      <c r="C135" s="158">
        <v>3834081.35</v>
      </c>
      <c r="D135" s="159">
        <f t="shared" si="45"/>
        <v>3834081.35</v>
      </c>
      <c r="E135" s="158">
        <v>2244315.85</v>
      </c>
      <c r="F135" s="158">
        <v>1362537.18</v>
      </c>
      <c r="G135" s="80">
        <f t="shared" ref="G135:G136" si="46">D135-E135</f>
        <v>1589765.5</v>
      </c>
    </row>
    <row r="136" spans="1:7" x14ac:dyDescent="0.3">
      <c r="A136" s="84" t="s">
        <v>337</v>
      </c>
      <c r="B136" s="159"/>
      <c r="C136" s="159"/>
      <c r="D136" s="159">
        <f t="shared" si="45"/>
        <v>0</v>
      </c>
      <c r="E136" s="159"/>
      <c r="F136" s="159"/>
      <c r="G136" s="80">
        <f t="shared" si="46"/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 x14ac:dyDescent="0.3">
      <c r="A138" s="84" t="s">
        <v>339</v>
      </c>
      <c r="B138" s="159"/>
      <c r="C138" s="159"/>
      <c r="D138" s="159">
        <f t="shared" ref="D138:D145" si="48">B138+C138</f>
        <v>0</v>
      </c>
      <c r="E138" s="159"/>
      <c r="F138" s="159"/>
      <c r="G138" s="80">
        <f>D138-E138</f>
        <v>0</v>
      </c>
    </row>
    <row r="139" spans="1:7" x14ac:dyDescent="0.3">
      <c r="A139" s="84" t="s">
        <v>340</v>
      </c>
      <c r="B139" s="159"/>
      <c r="C139" s="159"/>
      <c r="D139" s="159">
        <f t="shared" si="48"/>
        <v>0</v>
      </c>
      <c r="E139" s="159"/>
      <c r="F139" s="159"/>
      <c r="G139" s="80">
        <f t="shared" ref="G139:G145" si="49">D139-E139</f>
        <v>0</v>
      </c>
    </row>
    <row r="140" spans="1:7" x14ac:dyDescent="0.3">
      <c r="A140" s="84" t="s">
        <v>341</v>
      </c>
      <c r="B140" s="159"/>
      <c r="C140" s="159"/>
      <c r="D140" s="159">
        <f t="shared" si="48"/>
        <v>0</v>
      </c>
      <c r="E140" s="159"/>
      <c r="F140" s="159"/>
      <c r="G140" s="80">
        <f t="shared" si="49"/>
        <v>0</v>
      </c>
    </row>
    <row r="141" spans="1:7" x14ac:dyDescent="0.3">
      <c r="A141" s="84" t="s">
        <v>342</v>
      </c>
      <c r="B141" s="159"/>
      <c r="C141" s="159"/>
      <c r="D141" s="159">
        <f t="shared" si="48"/>
        <v>0</v>
      </c>
      <c r="E141" s="159"/>
      <c r="F141" s="159"/>
      <c r="G141" s="80">
        <f t="shared" si="49"/>
        <v>0</v>
      </c>
    </row>
    <row r="142" spans="1:7" x14ac:dyDescent="0.3">
      <c r="A142" s="84" t="s">
        <v>343</v>
      </c>
      <c r="B142" s="159"/>
      <c r="C142" s="159"/>
      <c r="D142" s="159">
        <f t="shared" si="48"/>
        <v>0</v>
      </c>
      <c r="E142" s="159"/>
      <c r="F142" s="159"/>
      <c r="G142" s="80">
        <f t="shared" si="49"/>
        <v>0</v>
      </c>
    </row>
    <row r="143" spans="1:7" x14ac:dyDescent="0.3">
      <c r="A143" s="84" t="s">
        <v>3294</v>
      </c>
      <c r="B143" s="159"/>
      <c r="C143" s="159"/>
      <c r="D143" s="159">
        <f t="shared" si="48"/>
        <v>0</v>
      </c>
      <c r="E143" s="159"/>
      <c r="F143" s="159"/>
      <c r="G143" s="80">
        <f t="shared" si="49"/>
        <v>0</v>
      </c>
    </row>
    <row r="144" spans="1:7" x14ac:dyDescent="0.3">
      <c r="A144" s="84" t="s">
        <v>345</v>
      </c>
      <c r="B144" s="159"/>
      <c r="C144" s="159"/>
      <c r="D144" s="159">
        <f t="shared" si="48"/>
        <v>0</v>
      </c>
      <c r="E144" s="159"/>
      <c r="F144" s="159"/>
      <c r="G144" s="80">
        <f t="shared" si="49"/>
        <v>0</v>
      </c>
    </row>
    <row r="145" spans="1:7" x14ac:dyDescent="0.3">
      <c r="A145" s="84" t="s">
        <v>346</v>
      </c>
      <c r="B145" s="159"/>
      <c r="C145" s="159"/>
      <c r="D145" s="159">
        <f t="shared" si="48"/>
        <v>0</v>
      </c>
      <c r="E145" s="159"/>
      <c r="F145" s="159"/>
      <c r="G145" s="80">
        <f t="shared" si="49"/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 x14ac:dyDescent="0.3">
      <c r="A147" s="84" t="s">
        <v>348</v>
      </c>
      <c r="B147" s="159"/>
      <c r="C147" s="159"/>
      <c r="D147" s="159">
        <f t="shared" ref="D147:D149" si="51">B147+C147</f>
        <v>0</v>
      </c>
      <c r="E147" s="159"/>
      <c r="F147" s="159"/>
      <c r="G147" s="80">
        <f>D147-E147</f>
        <v>0</v>
      </c>
    </row>
    <row r="148" spans="1:7" x14ac:dyDescent="0.3">
      <c r="A148" s="84" t="s">
        <v>349</v>
      </c>
      <c r="B148" s="159"/>
      <c r="C148" s="159"/>
      <c r="D148" s="159">
        <f t="shared" si="51"/>
        <v>0</v>
      </c>
      <c r="E148" s="159"/>
      <c r="F148" s="159"/>
      <c r="G148" s="80">
        <f t="shared" ref="G148:G149" si="52">D148-E148</f>
        <v>0</v>
      </c>
    </row>
    <row r="149" spans="1:7" x14ac:dyDescent="0.3">
      <c r="A149" s="84" t="s">
        <v>350</v>
      </c>
      <c r="B149" s="159"/>
      <c r="C149" s="159"/>
      <c r="D149" s="159">
        <f t="shared" si="51"/>
        <v>0</v>
      </c>
      <c r="E149" s="159"/>
      <c r="F149" s="159"/>
      <c r="G149" s="80">
        <f t="shared" si="52"/>
        <v>0</v>
      </c>
    </row>
    <row r="150" spans="1:7" x14ac:dyDescent="0.3">
      <c r="A150" s="83" t="s">
        <v>351</v>
      </c>
      <c r="B150" s="80">
        <f>SUM(B151:B157)</f>
        <v>4015516</v>
      </c>
      <c r="C150" s="80">
        <f t="shared" ref="C150:G150" si="53">SUM(C151:C157)</f>
        <v>-280944.38</v>
      </c>
      <c r="D150" s="80">
        <f t="shared" si="53"/>
        <v>3734571.62</v>
      </c>
      <c r="E150" s="80">
        <f t="shared" si="53"/>
        <v>3734571.62</v>
      </c>
      <c r="F150" s="80">
        <f t="shared" si="53"/>
        <v>3734571.62</v>
      </c>
      <c r="G150" s="80">
        <f t="shared" si="53"/>
        <v>0</v>
      </c>
    </row>
    <row r="151" spans="1:7" x14ac:dyDescent="0.3">
      <c r="A151" s="84" t="s">
        <v>352</v>
      </c>
      <c r="B151" s="158">
        <v>3065881</v>
      </c>
      <c r="C151" s="158">
        <v>-0.21</v>
      </c>
      <c r="D151" s="159">
        <f t="shared" ref="D151:D157" si="54">B151+C151</f>
        <v>3065880.79</v>
      </c>
      <c r="E151" s="158">
        <v>3065880.79</v>
      </c>
      <c r="F151" s="158">
        <v>3065880.79</v>
      </c>
      <c r="G151" s="80">
        <f>D151-E151</f>
        <v>0</v>
      </c>
    </row>
    <row r="152" spans="1:7" x14ac:dyDescent="0.3">
      <c r="A152" s="84" t="s">
        <v>353</v>
      </c>
      <c r="B152" s="158">
        <v>949635</v>
      </c>
      <c r="C152" s="158">
        <v>-280944.17</v>
      </c>
      <c r="D152" s="159">
        <f t="shared" si="54"/>
        <v>668690.83000000007</v>
      </c>
      <c r="E152" s="158">
        <v>668690.82999999996</v>
      </c>
      <c r="F152" s="158">
        <v>668690.82999999996</v>
      </c>
      <c r="G152" s="80">
        <f t="shared" ref="G152:G157" si="55">D152-E152</f>
        <v>0</v>
      </c>
    </row>
    <row r="153" spans="1:7" x14ac:dyDescent="0.3">
      <c r="A153" s="84" t="s">
        <v>354</v>
      </c>
      <c r="B153" s="159"/>
      <c r="C153" s="159"/>
      <c r="D153" s="159">
        <f t="shared" si="54"/>
        <v>0</v>
      </c>
      <c r="E153" s="159"/>
      <c r="F153" s="159"/>
      <c r="G153" s="80">
        <f t="shared" si="55"/>
        <v>0</v>
      </c>
    </row>
    <row r="154" spans="1:7" x14ac:dyDescent="0.3">
      <c r="A154" s="42" t="s">
        <v>355</v>
      </c>
      <c r="B154" s="159"/>
      <c r="C154" s="159"/>
      <c r="D154" s="159">
        <f t="shared" si="54"/>
        <v>0</v>
      </c>
      <c r="E154" s="159"/>
      <c r="F154" s="159"/>
      <c r="G154" s="80">
        <f t="shared" si="55"/>
        <v>0</v>
      </c>
    </row>
    <row r="155" spans="1:7" x14ac:dyDescent="0.3">
      <c r="A155" s="84" t="s">
        <v>356</v>
      </c>
      <c r="B155" s="159"/>
      <c r="C155" s="159"/>
      <c r="D155" s="159">
        <f t="shared" si="54"/>
        <v>0</v>
      </c>
      <c r="E155" s="159"/>
      <c r="F155" s="159"/>
      <c r="G155" s="80">
        <f t="shared" si="55"/>
        <v>0</v>
      </c>
    </row>
    <row r="156" spans="1:7" x14ac:dyDescent="0.3">
      <c r="A156" s="84" t="s">
        <v>357</v>
      </c>
      <c r="B156" s="159"/>
      <c r="C156" s="159"/>
      <c r="D156" s="159">
        <f t="shared" si="54"/>
        <v>0</v>
      </c>
      <c r="E156" s="159"/>
      <c r="F156" s="159"/>
      <c r="G156" s="80">
        <f t="shared" si="55"/>
        <v>0</v>
      </c>
    </row>
    <row r="157" spans="1:7" x14ac:dyDescent="0.3">
      <c r="A157" s="84" t="s">
        <v>358</v>
      </c>
      <c r="B157" s="159"/>
      <c r="C157" s="159"/>
      <c r="D157" s="159">
        <f t="shared" si="54"/>
        <v>0</v>
      </c>
      <c r="E157" s="159"/>
      <c r="F157" s="159"/>
      <c r="G157" s="80">
        <f t="shared" si="55"/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644098554.96000004</v>
      </c>
      <c r="C159" s="79">
        <f t="shared" ref="C159:G159" si="56">C9+C84</f>
        <v>263354422.88</v>
      </c>
      <c r="D159" s="79">
        <f t="shared" si="56"/>
        <v>907452977.84000003</v>
      </c>
      <c r="E159" s="79">
        <f t="shared" si="56"/>
        <v>806128299.5999999</v>
      </c>
      <c r="F159" s="79">
        <f t="shared" si="56"/>
        <v>773900704.83000004</v>
      </c>
      <c r="G159" s="79">
        <f t="shared" si="56"/>
        <v>101324678.24000001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470896993.95999998</v>
      </c>
      <c r="Q2" s="18">
        <f>'Formato 6 a)'!C9</f>
        <v>101488404.39</v>
      </c>
      <c r="R2" s="18">
        <f>'Formato 6 a)'!D9</f>
        <v>572385398.35000002</v>
      </c>
      <c r="S2" s="18">
        <f>'Formato 6 a)'!E9</f>
        <v>527397440.0999999</v>
      </c>
      <c r="T2" s="18">
        <f>'Formato 6 a)'!F9</f>
        <v>515003920.17000002</v>
      </c>
      <c r="U2" s="18">
        <f>'Formato 6 a)'!G9</f>
        <v>44987958.250000007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290389751.95999998</v>
      </c>
      <c r="Q3" s="18">
        <f>'Formato 6 a)'!C10</f>
        <v>36187342.640000001</v>
      </c>
      <c r="R3" s="18">
        <f>'Formato 6 a)'!D10</f>
        <v>326577094.60000002</v>
      </c>
      <c r="S3" s="18">
        <f>'Formato 6 a)'!E10</f>
        <v>311205290.13999999</v>
      </c>
      <c r="T3" s="18">
        <f>'Formato 6 a)'!F10</f>
        <v>303176195.80000001</v>
      </c>
      <c r="U3" s="18">
        <f>'Formato 6 a)'!G10</f>
        <v>15371804.459999993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86286393</v>
      </c>
      <c r="Q4" s="18">
        <f>'Formato 6 a)'!C11</f>
        <v>84916.08</v>
      </c>
      <c r="R4" s="18">
        <f>'Formato 6 a)'!D11</f>
        <v>86371309.079999998</v>
      </c>
      <c r="S4" s="18">
        <f>'Formato 6 a)'!E11</f>
        <v>83439174.060000002</v>
      </c>
      <c r="T4" s="18">
        <f>'Formato 6 a)'!F11</f>
        <v>83439174.060000002</v>
      </c>
      <c r="U4" s="18">
        <f>'Formato 6 a)'!G11</f>
        <v>2932135.0199999958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16296433</v>
      </c>
      <c r="Q5" s="18">
        <f>'Formato 6 a)'!C12</f>
        <v>27374900.620000001</v>
      </c>
      <c r="R5" s="18">
        <f>'Formato 6 a)'!D12</f>
        <v>43671333.620000005</v>
      </c>
      <c r="S5" s="18">
        <f>'Formato 6 a)'!E12</f>
        <v>42102845.579999998</v>
      </c>
      <c r="T5" s="18">
        <f>'Formato 6 a)'!F12</f>
        <v>41842443.869999997</v>
      </c>
      <c r="U5" s="18">
        <f>'Formato 6 a)'!G12</f>
        <v>1568488.0400000066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28510765</v>
      </c>
      <c r="Q6" s="18">
        <f>'Formato 6 a)'!C13</f>
        <v>6012002.29</v>
      </c>
      <c r="R6" s="18">
        <f>'Formato 6 a)'!D13</f>
        <v>34522767.289999999</v>
      </c>
      <c r="S6" s="18">
        <f>'Formato 6 a)'!E13</f>
        <v>32787046.609999999</v>
      </c>
      <c r="T6" s="18">
        <f>'Formato 6 a)'!F13</f>
        <v>29458655.390000001</v>
      </c>
      <c r="U6" s="18">
        <f>'Formato 6 a)'!G13</f>
        <v>1735720.6799999997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60349457</v>
      </c>
      <c r="Q7" s="18">
        <f>'Formato 6 a)'!C14</f>
        <v>-5222635.37</v>
      </c>
      <c r="R7" s="18">
        <f>'Formato 6 a)'!D14</f>
        <v>55126821.630000003</v>
      </c>
      <c r="S7" s="18">
        <f>'Formato 6 a)'!E14</f>
        <v>49660892.969999999</v>
      </c>
      <c r="T7" s="18">
        <f>'Formato 6 a)'!F14</f>
        <v>49480212.119999997</v>
      </c>
      <c r="U7" s="18">
        <f>'Formato 6 a)'!G14</f>
        <v>5465928.6600000039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98946703.959999993</v>
      </c>
      <c r="Q8" s="18">
        <f>'Formato 6 a)'!C15</f>
        <v>7938159.0199999996</v>
      </c>
      <c r="R8" s="18">
        <f>'Formato 6 a)'!D15</f>
        <v>106884862.97999999</v>
      </c>
      <c r="S8" s="18">
        <f>'Formato 6 a)'!E15</f>
        <v>103215330.92</v>
      </c>
      <c r="T8" s="18">
        <f>'Formato 6 a)'!F15</f>
        <v>98955710.359999999</v>
      </c>
      <c r="U8" s="18">
        <f>'Formato 6 a)'!G15</f>
        <v>3669532.0599999875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47153109</v>
      </c>
      <c r="Q11" s="18">
        <f>'Formato 6 a)'!C18</f>
        <v>7974422.1000000015</v>
      </c>
      <c r="R11" s="18">
        <f>'Formato 6 a)'!D18</f>
        <v>55127531.100000001</v>
      </c>
      <c r="S11" s="18">
        <f>'Formato 6 a)'!E18</f>
        <v>51467841.990000002</v>
      </c>
      <c r="T11" s="18">
        <f>'Formato 6 a)'!F18</f>
        <v>51106023.490000002</v>
      </c>
      <c r="U11" s="18">
        <f>'Formato 6 a)'!G18</f>
        <v>3659689.1100000022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6358402</v>
      </c>
      <c r="Q12" s="18">
        <f>'Formato 6 a)'!C19</f>
        <v>-718760.7</v>
      </c>
      <c r="R12" s="18">
        <f>'Formato 6 a)'!D19</f>
        <v>5639641.2999999998</v>
      </c>
      <c r="S12" s="18">
        <f>'Formato 6 a)'!E19</f>
        <v>5180361.43</v>
      </c>
      <c r="T12" s="18">
        <f>'Formato 6 a)'!F19</f>
        <v>5171071.38</v>
      </c>
      <c r="U12" s="18">
        <f>'Formato 6 a)'!G19</f>
        <v>459279.87000000011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3629076</v>
      </c>
      <c r="Q13" s="18">
        <f>'Formato 6 a)'!C20</f>
        <v>552753.06999999995</v>
      </c>
      <c r="R13" s="18">
        <f>'Formato 6 a)'!D20</f>
        <v>4181829.07</v>
      </c>
      <c r="S13" s="18">
        <f>'Formato 6 a)'!E20</f>
        <v>3776543.6</v>
      </c>
      <c r="T13" s="18">
        <f>'Formato 6 a)'!F20</f>
        <v>3771167.6</v>
      </c>
      <c r="U13" s="18">
        <f>'Formato 6 a)'!G20</f>
        <v>405285.46999999974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10362586</v>
      </c>
      <c r="Q15" s="18">
        <f>'Formato 6 a)'!C22</f>
        <v>-81417.84</v>
      </c>
      <c r="R15" s="18">
        <f>'Formato 6 a)'!D22</f>
        <v>10281168.16</v>
      </c>
      <c r="S15" s="18">
        <f>'Formato 6 a)'!E22</f>
        <v>9854056.1799999997</v>
      </c>
      <c r="T15" s="18">
        <f>'Formato 6 a)'!F22</f>
        <v>9639564</v>
      </c>
      <c r="U15" s="18">
        <f>'Formato 6 a)'!G22</f>
        <v>427111.98000000045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855626</v>
      </c>
      <c r="Q16" s="18">
        <f>'Formato 6 a)'!C23</f>
        <v>170875.76</v>
      </c>
      <c r="R16" s="18">
        <f>'Formato 6 a)'!D23</f>
        <v>1026501.76</v>
      </c>
      <c r="S16" s="18">
        <f>'Formato 6 a)'!E23</f>
        <v>820127.99</v>
      </c>
      <c r="T16" s="18">
        <f>'Formato 6 a)'!F23</f>
        <v>808214.79</v>
      </c>
      <c r="U16" s="18">
        <f>'Formato 6 a)'!G23</f>
        <v>206373.77000000002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22061590</v>
      </c>
      <c r="Q17" s="18">
        <f>'Formato 6 a)'!C24</f>
        <v>8442594.7100000009</v>
      </c>
      <c r="R17" s="18">
        <f>'Formato 6 a)'!D24</f>
        <v>30504184.710000001</v>
      </c>
      <c r="S17" s="18">
        <f>'Formato 6 a)'!E24</f>
        <v>28968399.199999999</v>
      </c>
      <c r="T17" s="18">
        <f>'Formato 6 a)'!F24</f>
        <v>28850898.129999999</v>
      </c>
      <c r="U17" s="18">
        <f>'Formato 6 a)'!G24</f>
        <v>1535785.5100000016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1892675</v>
      </c>
      <c r="Q18" s="18">
        <f>'Formato 6 a)'!C25</f>
        <v>31544.02</v>
      </c>
      <c r="R18" s="18">
        <f>'Formato 6 a)'!D25</f>
        <v>1924219.02</v>
      </c>
      <c r="S18" s="18">
        <f>'Formato 6 a)'!E25</f>
        <v>1689078.53</v>
      </c>
      <c r="T18" s="18">
        <f>'Formato 6 a)'!F25</f>
        <v>1689078.53</v>
      </c>
      <c r="U18" s="18">
        <f>'Formato 6 a)'!G25</f>
        <v>235140.49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186000</v>
      </c>
      <c r="Q19" s="18">
        <f>'Formato 6 a)'!C26</f>
        <v>-114000</v>
      </c>
      <c r="R19" s="18">
        <f>'Formato 6 a)'!D26</f>
        <v>72000</v>
      </c>
      <c r="S19" s="18">
        <f>'Formato 6 a)'!E26</f>
        <v>71164.84</v>
      </c>
      <c r="T19" s="18">
        <f>'Formato 6 a)'!F26</f>
        <v>71164.84</v>
      </c>
      <c r="U19" s="18">
        <f>'Formato 6 a)'!G26</f>
        <v>835.16000000000349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1807154</v>
      </c>
      <c r="Q20" s="18">
        <f>'Formato 6 a)'!C27</f>
        <v>-309166.92</v>
      </c>
      <c r="R20" s="18">
        <f>'Formato 6 a)'!D27</f>
        <v>1497987.08</v>
      </c>
      <c r="S20" s="18">
        <f>'Formato 6 a)'!E27</f>
        <v>1108110.22</v>
      </c>
      <c r="T20" s="18">
        <f>'Formato 6 a)'!F27</f>
        <v>1104864.22</v>
      </c>
      <c r="U20" s="18">
        <f>'Formato 6 a)'!G27</f>
        <v>389876.8600000001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80941366</v>
      </c>
      <c r="Q21" s="18">
        <f>'Formato 6 a)'!C28</f>
        <v>28968717.120000001</v>
      </c>
      <c r="R21" s="18">
        <f>'Formato 6 a)'!D28</f>
        <v>109910083.12</v>
      </c>
      <c r="S21" s="18">
        <f>'Formato 6 a)'!E28</f>
        <v>99022811.809999973</v>
      </c>
      <c r="T21" s="18">
        <f>'Formato 6 a)'!F28</f>
        <v>96327946.319999993</v>
      </c>
      <c r="U21" s="18">
        <f>'Formato 6 a)'!G28</f>
        <v>10887271.310000006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14826678</v>
      </c>
      <c r="Q22" s="18">
        <f>'Formato 6 a)'!C29</f>
        <v>11412390.4</v>
      </c>
      <c r="R22" s="18">
        <f>'Formato 6 a)'!D29</f>
        <v>26239068.399999999</v>
      </c>
      <c r="S22" s="18">
        <f>'Formato 6 a)'!E29</f>
        <v>24265879.579999998</v>
      </c>
      <c r="T22" s="18">
        <f>'Formato 6 a)'!F29</f>
        <v>23749699.920000002</v>
      </c>
      <c r="U22" s="18">
        <f>'Formato 6 a)'!G29</f>
        <v>1973188.8200000003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5565527</v>
      </c>
      <c r="Q23" s="18">
        <f>'Formato 6 a)'!C30</f>
        <v>197236.11</v>
      </c>
      <c r="R23" s="18">
        <f>'Formato 6 a)'!D30</f>
        <v>5762763.1100000003</v>
      </c>
      <c r="S23" s="18">
        <f>'Formato 6 a)'!E30</f>
        <v>5421719.5700000003</v>
      </c>
      <c r="T23" s="18">
        <f>'Formato 6 a)'!F30</f>
        <v>5421719.5700000003</v>
      </c>
      <c r="U23" s="18">
        <f>'Formato 6 a)'!G30</f>
        <v>341043.54000000004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10342970</v>
      </c>
      <c r="Q24" s="18">
        <f>'Formato 6 a)'!C31</f>
        <v>3452680.97</v>
      </c>
      <c r="R24" s="18">
        <f>'Formato 6 a)'!D31</f>
        <v>13795650.970000001</v>
      </c>
      <c r="S24" s="18">
        <f>'Formato 6 a)'!E31</f>
        <v>12232928.15</v>
      </c>
      <c r="T24" s="18">
        <f>'Formato 6 a)'!F31</f>
        <v>10874291.52</v>
      </c>
      <c r="U24" s="18">
        <f>'Formato 6 a)'!G31</f>
        <v>1562722.8200000003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4159051</v>
      </c>
      <c r="Q25" s="18">
        <f>'Formato 6 a)'!C32</f>
        <v>1432971.07</v>
      </c>
      <c r="R25" s="18">
        <f>'Formato 6 a)'!D32</f>
        <v>5592022.0700000003</v>
      </c>
      <c r="S25" s="18">
        <f>'Formato 6 a)'!E32</f>
        <v>5339807.8099999996</v>
      </c>
      <c r="T25" s="18">
        <f>'Formato 6 a)'!F32</f>
        <v>5335029.97</v>
      </c>
      <c r="U25" s="18">
        <f>'Formato 6 a)'!G32</f>
        <v>252214.26000000071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22832542</v>
      </c>
      <c r="Q26" s="18">
        <f>'Formato 6 a)'!C33</f>
        <v>11318679.98</v>
      </c>
      <c r="R26" s="18">
        <f>'Formato 6 a)'!D33</f>
        <v>34151221.980000004</v>
      </c>
      <c r="S26" s="18">
        <f>'Formato 6 a)'!E33</f>
        <v>31789098.649999999</v>
      </c>
      <c r="T26" s="18">
        <f>'Formato 6 a)'!F33</f>
        <v>31103527.300000001</v>
      </c>
      <c r="U26" s="18">
        <f>'Formato 6 a)'!G33</f>
        <v>2362123.3300000057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7739751</v>
      </c>
      <c r="Q27" s="18">
        <f>'Formato 6 a)'!C34</f>
        <v>380089.76</v>
      </c>
      <c r="R27" s="18">
        <f>'Formato 6 a)'!D34</f>
        <v>8119840.7599999998</v>
      </c>
      <c r="S27" s="18">
        <f>'Formato 6 a)'!E34</f>
        <v>7412733.96</v>
      </c>
      <c r="T27" s="18">
        <f>'Formato 6 a)'!F34</f>
        <v>7376947.96</v>
      </c>
      <c r="U27" s="18">
        <f>'Formato 6 a)'!G34</f>
        <v>707106.79999999981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1120017</v>
      </c>
      <c r="Q28" s="18">
        <f>'Formato 6 a)'!C35</f>
        <v>-82821.37</v>
      </c>
      <c r="R28" s="18">
        <f>'Formato 6 a)'!D35</f>
        <v>1037195.63</v>
      </c>
      <c r="S28" s="18">
        <f>'Formato 6 a)'!E35</f>
        <v>414839.08</v>
      </c>
      <c r="T28" s="18">
        <f>'Formato 6 a)'!F35</f>
        <v>414839.08</v>
      </c>
      <c r="U28" s="18">
        <f>'Formato 6 a)'!G35</f>
        <v>622356.55000000005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7141418</v>
      </c>
      <c r="Q29" s="18">
        <f>'Formato 6 a)'!C36</f>
        <v>967197.05</v>
      </c>
      <c r="R29" s="18">
        <f>'Formato 6 a)'!D36</f>
        <v>8108615.0499999998</v>
      </c>
      <c r="S29" s="18">
        <f>'Formato 6 a)'!E36</f>
        <v>6753067.2999999998</v>
      </c>
      <c r="T29" s="18">
        <f>'Formato 6 a)'!F36</f>
        <v>6659153.29</v>
      </c>
      <c r="U29" s="18">
        <f>'Formato 6 a)'!G36</f>
        <v>1355547.75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7213412</v>
      </c>
      <c r="Q30" s="18">
        <f>'Formato 6 a)'!C37</f>
        <v>-109706.85</v>
      </c>
      <c r="R30" s="18">
        <f>'Formato 6 a)'!D37</f>
        <v>7103705.1500000004</v>
      </c>
      <c r="S30" s="18">
        <f>'Formato 6 a)'!E37</f>
        <v>5392737.71</v>
      </c>
      <c r="T30" s="18">
        <f>'Formato 6 a)'!F37</f>
        <v>5392737.71</v>
      </c>
      <c r="U30" s="18">
        <f>'Formato 6 a)'!G37</f>
        <v>1710967.4400000004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40234511</v>
      </c>
      <c r="Q31" s="18">
        <f>'Formato 6 a)'!C38</f>
        <v>1776130.3599999999</v>
      </c>
      <c r="R31" s="18">
        <f>'Formato 6 a)'!D38</f>
        <v>42010641.359999999</v>
      </c>
      <c r="S31" s="18">
        <f>'Formato 6 a)'!E38</f>
        <v>40070031.850000001</v>
      </c>
      <c r="T31" s="18">
        <f>'Formato 6 a)'!F38</f>
        <v>40048191.850000001</v>
      </c>
      <c r="U31" s="18">
        <f>'Formato 6 a)'!G38</f>
        <v>1940609.5100000007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32131299</v>
      </c>
      <c r="Q32" s="18">
        <f>'Formato 6 a)'!C39</f>
        <v>869128.14</v>
      </c>
      <c r="R32" s="18">
        <f>'Formato 6 a)'!D39</f>
        <v>33000427.140000001</v>
      </c>
      <c r="S32" s="18">
        <f>'Formato 6 a)'!E39</f>
        <v>33000426.82</v>
      </c>
      <c r="T32" s="18">
        <f>'Formato 6 a)'!F39</f>
        <v>33000426.82</v>
      </c>
      <c r="U32" s="18">
        <f>'Formato 6 a)'!G39</f>
        <v>0.32000000029802322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540000</v>
      </c>
      <c r="Q34" s="18">
        <f>'Formato 6 a)'!C41</f>
        <v>0</v>
      </c>
      <c r="R34" s="18">
        <f>'Formato 6 a)'!D41</f>
        <v>540000</v>
      </c>
      <c r="S34" s="18">
        <f>'Formato 6 a)'!E41</f>
        <v>540000</v>
      </c>
      <c r="T34" s="18">
        <f>'Formato 6 a)'!F41</f>
        <v>540000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7563212</v>
      </c>
      <c r="Q35" s="18">
        <f>'Formato 6 a)'!C42</f>
        <v>907002.22</v>
      </c>
      <c r="R35" s="18">
        <f>'Formato 6 a)'!D42</f>
        <v>8470214.2200000007</v>
      </c>
      <c r="S35" s="18">
        <f>'Formato 6 a)'!E42</f>
        <v>6529605.0300000003</v>
      </c>
      <c r="T35" s="18">
        <f>'Formato 6 a)'!F42</f>
        <v>6507765.0300000003</v>
      </c>
      <c r="U35" s="18">
        <f>'Formato 6 a)'!G42</f>
        <v>1940609.1900000004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30000</v>
      </c>
      <c r="Q41" s="18">
        <f>'Formato 6 a)'!C48</f>
        <v>2453004.62</v>
      </c>
      <c r="R41" s="18">
        <f>'Formato 6 a)'!D48</f>
        <v>2483004.62</v>
      </c>
      <c r="S41" s="18">
        <f>'Formato 6 a)'!E48</f>
        <v>2058635.45</v>
      </c>
      <c r="T41" s="18">
        <f>'Formato 6 a)'!F48</f>
        <v>1766254.2300000002</v>
      </c>
      <c r="U41" s="18">
        <f>'Formato 6 a)'!G48</f>
        <v>424369.17000000004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30000</v>
      </c>
      <c r="Q42" s="18">
        <f>'Formato 6 a)'!C49</f>
        <v>1211728.32</v>
      </c>
      <c r="R42" s="18">
        <f>'Formato 6 a)'!D49</f>
        <v>1241728.32</v>
      </c>
      <c r="S42" s="18">
        <f>'Formato 6 a)'!E49</f>
        <v>1170741.26</v>
      </c>
      <c r="T42" s="18">
        <f>'Formato 6 a)'!F49</f>
        <v>913793.4</v>
      </c>
      <c r="U42" s="18">
        <f>'Formato 6 a)'!G49</f>
        <v>70987.060000000056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23000</v>
      </c>
      <c r="R43" s="18">
        <f>'Formato 6 a)'!D50</f>
        <v>23000</v>
      </c>
      <c r="S43" s="18">
        <f>'Formato 6 a)'!E50</f>
        <v>20896.009999999998</v>
      </c>
      <c r="T43" s="18">
        <f>'Formato 6 a)'!F50</f>
        <v>20896.009999999998</v>
      </c>
      <c r="U43" s="18">
        <f>'Formato 6 a)'!G50</f>
        <v>2103.9900000000016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140000</v>
      </c>
      <c r="R47" s="18">
        <f>'Formato 6 a)'!D54</f>
        <v>140000</v>
      </c>
      <c r="S47" s="18">
        <f>'Formato 6 a)'!E54</f>
        <v>132345</v>
      </c>
      <c r="T47" s="18">
        <f>'Formato 6 a)'!F54</f>
        <v>132345</v>
      </c>
      <c r="U47" s="18">
        <f>'Formato 6 a)'!G54</f>
        <v>7655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710191.5</v>
      </c>
      <c r="R49" s="18">
        <f>'Formato 6 a)'!D56</f>
        <v>710191.5</v>
      </c>
      <c r="S49" s="18">
        <f>'Formato 6 a)'!E56</f>
        <v>396103.5</v>
      </c>
      <c r="T49" s="18">
        <f>'Formato 6 a)'!F56</f>
        <v>396103.5</v>
      </c>
      <c r="U49" s="18">
        <f>'Formato 6 a)'!G56</f>
        <v>314088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368084.8</v>
      </c>
      <c r="R50" s="18">
        <f>'Formato 6 a)'!D57</f>
        <v>368084.8</v>
      </c>
      <c r="S50" s="18">
        <f>'Formato 6 a)'!E57</f>
        <v>338549.68</v>
      </c>
      <c r="T50" s="18">
        <f>'Formato 6 a)'!F57</f>
        <v>303116.32</v>
      </c>
      <c r="U50" s="18">
        <f>'Formato 6 a)'!G57</f>
        <v>29535.119999999995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1150000</v>
      </c>
      <c r="Q51" s="18">
        <f>'Formato 6 a)'!C58</f>
        <v>29668034.989999998</v>
      </c>
      <c r="R51" s="18">
        <f>'Formato 6 a)'!D58</f>
        <v>30818034.989999998</v>
      </c>
      <c r="S51" s="18">
        <f>'Formato 6 a)'!E58</f>
        <v>20835957.830000002</v>
      </c>
      <c r="T51" s="18">
        <f>'Formato 6 a)'!F58</f>
        <v>19882437.450000003</v>
      </c>
      <c r="U51" s="18">
        <f>'Formato 6 a)'!G58</f>
        <v>9982077.1600000001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600000</v>
      </c>
      <c r="Q52" s="18">
        <f>'Formato 6 a)'!C59</f>
        <v>26382037.59</v>
      </c>
      <c r="R52" s="18">
        <f>'Formato 6 a)'!D59</f>
        <v>26982037.59</v>
      </c>
      <c r="S52" s="18">
        <f>'Formato 6 a)'!E59</f>
        <v>19116719.73</v>
      </c>
      <c r="T52" s="18">
        <f>'Formato 6 a)'!F59</f>
        <v>18541104.510000002</v>
      </c>
      <c r="U52" s="18">
        <f>'Formato 6 a)'!G59</f>
        <v>7865317.8599999994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550000</v>
      </c>
      <c r="Q53" s="18">
        <f>'Formato 6 a)'!C60</f>
        <v>3285997.4</v>
      </c>
      <c r="R53" s="18">
        <f>'Formato 6 a)'!D60</f>
        <v>3835997.4</v>
      </c>
      <c r="S53" s="18">
        <f>'Formato 6 a)'!E60</f>
        <v>1719238.1</v>
      </c>
      <c r="T53" s="18">
        <f>'Formato 6 a)'!F60</f>
        <v>1341332.94</v>
      </c>
      <c r="U53" s="18">
        <f>'Formato 6 a)'!G60</f>
        <v>2116759.2999999998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1500000</v>
      </c>
      <c r="Q55" s="18">
        <f>'Formato 6 a)'!C62</f>
        <v>0</v>
      </c>
      <c r="R55" s="18">
        <f>'Formato 6 a)'!D62</f>
        <v>1500000</v>
      </c>
      <c r="S55" s="18">
        <f>'Formato 6 a)'!E62</f>
        <v>0</v>
      </c>
      <c r="T55" s="18">
        <f>'Formato 6 a)'!F62</f>
        <v>0</v>
      </c>
      <c r="U55" s="18">
        <f>'Formato 6 a)'!G62</f>
        <v>1500000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1500000</v>
      </c>
      <c r="Q63" s="18">
        <f>'Formato 6 a)'!C70</f>
        <v>0</v>
      </c>
      <c r="R63" s="18">
        <f>'Formato 6 a)'!D70</f>
        <v>1500000</v>
      </c>
      <c r="S63" s="18">
        <f>'Formato 6 a)'!E70</f>
        <v>0</v>
      </c>
      <c r="T63" s="18">
        <f>'Formato 6 a)'!F70</f>
        <v>0</v>
      </c>
      <c r="U63" s="18">
        <f>'Formato 6 a)'!G70</f>
        <v>1500000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9498256</v>
      </c>
      <c r="Q64" s="18">
        <f>'Formato 6 a)'!C71</f>
        <v>-5539247.4400000004</v>
      </c>
      <c r="R64" s="18">
        <f>'Formato 6 a)'!D71</f>
        <v>3959008.5599999996</v>
      </c>
      <c r="S64" s="18">
        <f>'Formato 6 a)'!E71</f>
        <v>2736871.03</v>
      </c>
      <c r="T64" s="18">
        <f>'Formato 6 a)'!F71</f>
        <v>2696871.03</v>
      </c>
      <c r="U64" s="18">
        <f>'Formato 6 a)'!G71</f>
        <v>1222137.5299999998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9498256</v>
      </c>
      <c r="Q67" s="18">
        <f>'Formato 6 a)'!C74</f>
        <v>-5539247.4400000004</v>
      </c>
      <c r="R67" s="18">
        <f>'Formato 6 a)'!D74</f>
        <v>3959008.5599999996</v>
      </c>
      <c r="S67" s="18">
        <f>'Formato 6 a)'!E74</f>
        <v>2736871.03</v>
      </c>
      <c r="T67" s="18">
        <f>'Formato 6 a)'!F74</f>
        <v>2696871.03</v>
      </c>
      <c r="U67" s="18">
        <f>'Formato 6 a)'!G74</f>
        <v>1222137.5299999998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173201561</v>
      </c>
      <c r="Q76">
        <f>'Formato 6 a)'!C84</f>
        <v>161866018.49000001</v>
      </c>
      <c r="R76">
        <f>'Formato 6 a)'!D84</f>
        <v>335067579.49000001</v>
      </c>
      <c r="S76">
        <f>'Formato 6 a)'!E84</f>
        <v>278730859.5</v>
      </c>
      <c r="T76">
        <f>'Formato 6 a)'!F84</f>
        <v>258896784.66000003</v>
      </c>
      <c r="U76">
        <f>'Formato 6 a)'!G84</f>
        <v>56336719.989999995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103358962</v>
      </c>
      <c r="Q77">
        <f>'Formato 6 a)'!C85</f>
        <v>-2191960.3999999994</v>
      </c>
      <c r="R77">
        <f>'Formato 6 a)'!D85</f>
        <v>101167001.59999999</v>
      </c>
      <c r="S77">
        <f>'Formato 6 a)'!E85</f>
        <v>101144501.59999999</v>
      </c>
      <c r="T77">
        <f>'Formato 6 a)'!F85</f>
        <v>99933040.520000011</v>
      </c>
      <c r="U77">
        <f>'Formato 6 a)'!G85</f>
        <v>22500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31974782</v>
      </c>
      <c r="Q78">
        <f>'Formato 6 a)'!C86</f>
        <v>-1726457.92</v>
      </c>
      <c r="R78">
        <f>'Formato 6 a)'!D86</f>
        <v>30248324.079999998</v>
      </c>
      <c r="S78">
        <f>'Formato 6 a)'!E86</f>
        <v>30248324.079999998</v>
      </c>
      <c r="T78">
        <f>'Formato 6 a)'!F86</f>
        <v>30248324.079999998</v>
      </c>
      <c r="U78">
        <f>'Formato 6 a)'!G86</f>
        <v>0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4583926</v>
      </c>
      <c r="Q79">
        <f>'Formato 6 a)'!C87</f>
        <v>865000</v>
      </c>
      <c r="R79">
        <f>'Formato 6 a)'!D87</f>
        <v>5448926</v>
      </c>
      <c r="S79">
        <f>'Formato 6 a)'!E87</f>
        <v>5448926</v>
      </c>
      <c r="T79">
        <f>'Formato 6 a)'!F87</f>
        <v>5448926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11370771</v>
      </c>
      <c r="Q80">
        <f>'Formato 6 a)'!C88</f>
        <v>5579444.0700000003</v>
      </c>
      <c r="R80">
        <f>'Formato 6 a)'!D88</f>
        <v>16950215.07</v>
      </c>
      <c r="S80">
        <f>'Formato 6 a)'!E88</f>
        <v>16927715.07</v>
      </c>
      <c r="T80">
        <f>'Formato 6 a)'!F88</f>
        <v>16272388.08</v>
      </c>
      <c r="U80">
        <f>'Formato 6 a)'!G88</f>
        <v>22500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22706356</v>
      </c>
      <c r="Q81">
        <f>'Formato 6 a)'!C89</f>
        <v>-5181832.3499999996</v>
      </c>
      <c r="R81">
        <f>'Formato 6 a)'!D89</f>
        <v>17524523.649999999</v>
      </c>
      <c r="S81">
        <f>'Formato 6 a)'!E89</f>
        <v>17524523.649999999</v>
      </c>
      <c r="T81">
        <f>'Formato 6 a)'!F89</f>
        <v>17524523.649999999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32723127</v>
      </c>
      <c r="Q82">
        <f>'Formato 6 a)'!C90</f>
        <v>-1728114.2</v>
      </c>
      <c r="R82">
        <f>'Formato 6 a)'!D90</f>
        <v>30995012.800000001</v>
      </c>
      <c r="S82">
        <f>'Formato 6 a)'!E90</f>
        <v>30995012.800000001</v>
      </c>
      <c r="T82">
        <f>'Formato 6 a)'!F90</f>
        <v>30438878.710000001</v>
      </c>
      <c r="U82">
        <f>'Formato 6 a)'!G90</f>
        <v>0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6363084</v>
      </c>
      <c r="Q85">
        <f>'Formato 6 a)'!C93</f>
        <v>2983062.3699999996</v>
      </c>
      <c r="R85">
        <f>'Formato 6 a)'!D93</f>
        <v>9346146.370000001</v>
      </c>
      <c r="S85">
        <f>'Formato 6 a)'!E93</f>
        <v>9087790.0500000007</v>
      </c>
      <c r="T85">
        <f>'Formato 6 a)'!F93</f>
        <v>9087790.0500000007</v>
      </c>
      <c r="U85">
        <f>'Formato 6 a)'!G93</f>
        <v>258356.31999999995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186433</v>
      </c>
      <c r="Q87">
        <f>'Formato 6 a)'!C95</f>
        <v>601480</v>
      </c>
      <c r="R87">
        <f>'Formato 6 a)'!D95</f>
        <v>787913</v>
      </c>
      <c r="S87">
        <f>'Formato 6 a)'!E95</f>
        <v>678245.85</v>
      </c>
      <c r="T87">
        <f>'Formato 6 a)'!F95</f>
        <v>678245.85</v>
      </c>
      <c r="U87">
        <f>'Formato 6 a)'!G95</f>
        <v>109667.15000000002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5400000</v>
      </c>
      <c r="Q89">
        <f>'Formato 6 a)'!C97</f>
        <v>200329.15</v>
      </c>
      <c r="R89">
        <f>'Formato 6 a)'!D97</f>
        <v>5600329.1500000004</v>
      </c>
      <c r="S89">
        <f>'Formato 6 a)'!E97</f>
        <v>5600327.9800000004</v>
      </c>
      <c r="T89">
        <f>'Formato 6 a)'!F97</f>
        <v>5600327.9800000004</v>
      </c>
      <c r="U89">
        <f>'Formato 6 a)'!G97</f>
        <v>1.1699999999254942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26080</v>
      </c>
      <c r="Q90">
        <f>'Formato 6 a)'!C98</f>
        <v>-1016.79</v>
      </c>
      <c r="R90">
        <f>'Formato 6 a)'!D98</f>
        <v>25063.21</v>
      </c>
      <c r="S90">
        <f>'Formato 6 a)'!E98</f>
        <v>25063.21</v>
      </c>
      <c r="T90">
        <f>'Formato 6 a)'!F98</f>
        <v>25063.21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750571</v>
      </c>
      <c r="Q91">
        <f>'Formato 6 a)'!C99</f>
        <v>2182270.0099999998</v>
      </c>
      <c r="R91">
        <f>'Formato 6 a)'!D99</f>
        <v>2932841.01</v>
      </c>
      <c r="S91">
        <f>'Formato 6 a)'!E99</f>
        <v>2784153.01</v>
      </c>
      <c r="T91">
        <f>'Formato 6 a)'!F99</f>
        <v>2784153.01</v>
      </c>
      <c r="U91">
        <f>'Formato 6 a)'!G99</f>
        <v>148688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7366000</v>
      </c>
      <c r="Q95">
        <f>'Formato 6 a)'!C103</f>
        <v>16389266.6</v>
      </c>
      <c r="R95">
        <f>'Formato 6 a)'!D103</f>
        <v>23755266.600000001</v>
      </c>
      <c r="S95">
        <f>'Formato 6 a)'!E103</f>
        <v>23755266.59</v>
      </c>
      <c r="T95">
        <f>'Formato 6 a)'!F103</f>
        <v>20255597.5</v>
      </c>
      <c r="U95">
        <f>'Formato 6 a)'!G103</f>
        <v>9.9999997764825821E-3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7366000</v>
      </c>
      <c r="Q96">
        <f>'Formato 6 a)'!C104</f>
        <v>6316639.75</v>
      </c>
      <c r="R96">
        <f>'Formato 6 a)'!D104</f>
        <v>13682639.75</v>
      </c>
      <c r="S96">
        <f>'Formato 6 a)'!E104</f>
        <v>13682639.75</v>
      </c>
      <c r="T96">
        <f>'Formato 6 a)'!F104</f>
        <v>10842970.65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649875</v>
      </c>
      <c r="R97">
        <f>'Formato 6 a)'!D105</f>
        <v>649875</v>
      </c>
      <c r="S97">
        <f>'Formato 6 a)'!E105</f>
        <v>649875</v>
      </c>
      <c r="T97">
        <f>'Formato 6 a)'!F105</f>
        <v>499875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632076.85</v>
      </c>
      <c r="R100">
        <f>'Formato 6 a)'!D108</f>
        <v>632076.85</v>
      </c>
      <c r="S100">
        <f>'Formato 6 a)'!E108</f>
        <v>632076.85</v>
      </c>
      <c r="T100">
        <f>'Formato 6 a)'!F108</f>
        <v>632076.85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8790675</v>
      </c>
      <c r="R103">
        <f>'Formato 6 a)'!D111</f>
        <v>8790675</v>
      </c>
      <c r="S103">
        <f>'Formato 6 a)'!E111</f>
        <v>8790674.9900000002</v>
      </c>
      <c r="T103">
        <f>'Formato 6 a)'!F111</f>
        <v>8280675</v>
      </c>
      <c r="U103">
        <f>'Formato 6 a)'!G111</f>
        <v>9.9999997764825821E-3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7140104</v>
      </c>
      <c r="Q105">
        <f>'Formato 6 a)'!C113</f>
        <v>4977946.07</v>
      </c>
      <c r="R105">
        <f>'Formato 6 a)'!D113</f>
        <v>12118050.07</v>
      </c>
      <c r="S105">
        <f>'Formato 6 a)'!E113</f>
        <v>12118050.07</v>
      </c>
      <c r="T105">
        <f>'Formato 6 a)'!F113</f>
        <v>12118050.07</v>
      </c>
      <c r="U105">
        <f>'Formato 6 a)'!G113</f>
        <v>0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2775104</v>
      </c>
      <c r="Q106">
        <f>'Formato 6 a)'!C114</f>
        <v>0</v>
      </c>
      <c r="R106">
        <f>'Formato 6 a)'!D114</f>
        <v>2775104</v>
      </c>
      <c r="S106">
        <f>'Formato 6 a)'!E114</f>
        <v>2775104</v>
      </c>
      <c r="T106">
        <f>'Formato 6 a)'!F114</f>
        <v>2775104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4365000</v>
      </c>
      <c r="Q109">
        <f>'Formato 6 a)'!C117</f>
        <v>4977946.07</v>
      </c>
      <c r="R109">
        <f>'Formato 6 a)'!D117</f>
        <v>9342946.0700000003</v>
      </c>
      <c r="S109">
        <f>'Formato 6 a)'!E117</f>
        <v>9342946.0700000003</v>
      </c>
      <c r="T109">
        <f>'Formato 6 a)'!F117</f>
        <v>9342946.0700000003</v>
      </c>
      <c r="U109">
        <f>'Formato 6 a)'!G117</f>
        <v>0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205000</v>
      </c>
      <c r="R115">
        <f>'Formato 6 a)'!D123</f>
        <v>205000</v>
      </c>
      <c r="S115">
        <f>'Formato 6 a)'!E123</f>
        <v>204954.41</v>
      </c>
      <c r="T115">
        <f>'Formato 6 a)'!F123</f>
        <v>204954.41</v>
      </c>
      <c r="U115">
        <f>'Formato 6 a)'!G123</f>
        <v>45.589999999996508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205000</v>
      </c>
      <c r="R121">
        <f>'Formato 6 a)'!D129</f>
        <v>205000</v>
      </c>
      <c r="S121">
        <f>'Formato 6 a)'!E129</f>
        <v>204954.41</v>
      </c>
      <c r="T121">
        <f>'Formato 6 a)'!F129</f>
        <v>204954.41</v>
      </c>
      <c r="U121">
        <f>'Formato 6 a)'!G129</f>
        <v>45.589999999996508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44957895</v>
      </c>
      <c r="Q125">
        <f>'Formato 6 a)'!C133</f>
        <v>139783648.22999999</v>
      </c>
      <c r="R125">
        <f>'Formato 6 a)'!D133</f>
        <v>184741543.22999999</v>
      </c>
      <c r="S125">
        <f>'Formato 6 a)'!E133</f>
        <v>128685725.16</v>
      </c>
      <c r="T125">
        <f>'Formato 6 a)'!F133</f>
        <v>113562780.49000001</v>
      </c>
      <c r="U125">
        <f>'Formato 6 a)'!G133</f>
        <v>56055818.069999993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44957895</v>
      </c>
      <c r="Q126">
        <f>'Formato 6 a)'!C134</f>
        <v>135949566.88</v>
      </c>
      <c r="R126">
        <f>'Formato 6 a)'!D134</f>
        <v>180907461.88</v>
      </c>
      <c r="S126">
        <f>'Formato 6 a)'!E134</f>
        <v>126441409.31</v>
      </c>
      <c r="T126">
        <f>'Formato 6 a)'!F134</f>
        <v>112200243.31</v>
      </c>
      <c r="U126">
        <f>'Formato 6 a)'!G134</f>
        <v>54466052.569999993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3834081.35</v>
      </c>
      <c r="R127">
        <f>'Formato 6 a)'!D135</f>
        <v>3834081.35</v>
      </c>
      <c r="S127">
        <f>'Formato 6 a)'!E135</f>
        <v>2244315.85</v>
      </c>
      <c r="T127">
        <f>'Formato 6 a)'!F135</f>
        <v>1362537.18</v>
      </c>
      <c r="U127">
        <f>'Formato 6 a)'!G135</f>
        <v>1589765.5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4015516</v>
      </c>
      <c r="Q142">
        <f>'Formato 6 a)'!C150</f>
        <v>-280944.38</v>
      </c>
      <c r="R142">
        <f>'Formato 6 a)'!D150</f>
        <v>3734571.62</v>
      </c>
      <c r="S142">
        <f>'Formato 6 a)'!E150</f>
        <v>3734571.62</v>
      </c>
      <c r="T142">
        <f>'Formato 6 a)'!F150</f>
        <v>3734571.62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3065881</v>
      </c>
      <c r="Q143">
        <f>'Formato 6 a)'!C151</f>
        <v>-0.21</v>
      </c>
      <c r="R143">
        <f>'Formato 6 a)'!D151</f>
        <v>3065880.79</v>
      </c>
      <c r="S143">
        <f>'Formato 6 a)'!E151</f>
        <v>3065880.79</v>
      </c>
      <c r="T143">
        <f>'Formato 6 a)'!F151</f>
        <v>3065880.79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949635</v>
      </c>
      <c r="Q144">
        <f>'Formato 6 a)'!C152</f>
        <v>-280944.17</v>
      </c>
      <c r="R144">
        <f>'Formato 6 a)'!D152</f>
        <v>668690.83000000007</v>
      </c>
      <c r="S144">
        <f>'Formato 6 a)'!E152</f>
        <v>668690.82999999996</v>
      </c>
      <c r="T144">
        <f>'Formato 6 a)'!F152</f>
        <v>668690.82999999996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644098554.96000004</v>
      </c>
      <c r="Q150">
        <f>'Formato 6 a)'!C159</f>
        <v>263354422.88</v>
      </c>
      <c r="R150">
        <f>'Formato 6 a)'!D159</f>
        <v>907452977.84000003</v>
      </c>
      <c r="S150">
        <f>'Formato 6 a)'!E159</f>
        <v>806128299.5999999</v>
      </c>
      <c r="T150">
        <f>'Formato 6 a)'!F159</f>
        <v>773900704.83000004</v>
      </c>
      <c r="U150">
        <f>'Formato 6 a)'!G159</f>
        <v>101324678.24000001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131"/>
  <sheetViews>
    <sheetView showGridLines="0" topLeftCell="A70" zoomScale="90" zoomScaleNormal="90" workbookViewId="0">
      <selection sqref="A1:G1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207" t="s">
        <v>3283</v>
      </c>
      <c r="B1" s="207"/>
      <c r="C1" s="207"/>
      <c r="D1" s="207"/>
      <c r="E1" s="207"/>
      <c r="F1" s="207"/>
      <c r="G1" s="207"/>
    </row>
    <row r="2" spans="1:7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89"/>
      <c r="G2" s="190"/>
    </row>
    <row r="3" spans="1:7" x14ac:dyDescent="0.3">
      <c r="A3" s="191" t="s">
        <v>277</v>
      </c>
      <c r="B3" s="192"/>
      <c r="C3" s="192"/>
      <c r="D3" s="192"/>
      <c r="E3" s="192"/>
      <c r="F3" s="192"/>
      <c r="G3" s="193"/>
    </row>
    <row r="4" spans="1:7" x14ac:dyDescent="0.3">
      <c r="A4" s="191" t="s">
        <v>431</v>
      </c>
      <c r="B4" s="192"/>
      <c r="C4" s="192"/>
      <c r="D4" s="192"/>
      <c r="E4" s="192"/>
      <c r="F4" s="192"/>
      <c r="G4" s="193"/>
    </row>
    <row r="5" spans="1:7" x14ac:dyDescent="0.3">
      <c r="A5" s="194" t="str">
        <f>TRIMESTRE</f>
        <v>Del 1 de enero al 31 de diciembre de 2021 (b)</v>
      </c>
      <c r="B5" s="195"/>
      <c r="C5" s="195"/>
      <c r="D5" s="195"/>
      <c r="E5" s="195"/>
      <c r="F5" s="195"/>
      <c r="G5" s="196"/>
    </row>
    <row r="6" spans="1:7" x14ac:dyDescent="0.3">
      <c r="A6" s="197" t="s">
        <v>118</v>
      </c>
      <c r="B6" s="198"/>
      <c r="C6" s="198"/>
      <c r="D6" s="198"/>
      <c r="E6" s="198"/>
      <c r="F6" s="198"/>
      <c r="G6" s="199"/>
    </row>
    <row r="7" spans="1:7" x14ac:dyDescent="0.3">
      <c r="A7" s="203" t="s">
        <v>0</v>
      </c>
      <c r="B7" s="205" t="s">
        <v>279</v>
      </c>
      <c r="C7" s="205"/>
      <c r="D7" s="205"/>
      <c r="E7" s="205"/>
      <c r="F7" s="205"/>
      <c r="G7" s="209" t="s">
        <v>280</v>
      </c>
    </row>
    <row r="8" spans="1:7" ht="28.8" x14ac:dyDescent="0.3">
      <c r="A8" s="204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208"/>
    </row>
    <row r="9" spans="1:7" x14ac:dyDescent="0.3">
      <c r="A9" s="52" t="s">
        <v>432</v>
      </c>
      <c r="B9" s="59">
        <f>SUM(B10:GASTO_NE_FIN_01)</f>
        <v>470896993.96000004</v>
      </c>
      <c r="C9" s="59">
        <f>SUM(C10:GASTO_NE_FIN_02)</f>
        <v>101488404.38999997</v>
      </c>
      <c r="D9" s="59">
        <f>SUM(D10:GASTO_NE_FIN_03)</f>
        <v>572385398.35000002</v>
      </c>
      <c r="E9" s="59">
        <f>SUM(E10:GASTO_NE_FIN_04)</f>
        <v>527397440.09999985</v>
      </c>
      <c r="F9" s="59">
        <f>SUM(F10:GASTO_NE_FIN_05)</f>
        <v>515003920.17000002</v>
      </c>
      <c r="G9" s="59">
        <f>SUM(G10:GASTO_NE_FIN_06)</f>
        <v>44987958.249999993</v>
      </c>
    </row>
    <row r="10" spans="1:7" s="24" customFormat="1" x14ac:dyDescent="0.3">
      <c r="A10" s="164" t="s">
        <v>3297</v>
      </c>
      <c r="B10" s="165">
        <v>2042891</v>
      </c>
      <c r="C10" s="165">
        <v>0</v>
      </c>
      <c r="D10" s="165">
        <v>2042891</v>
      </c>
      <c r="E10" s="165">
        <v>1842374.94</v>
      </c>
      <c r="F10" s="165">
        <v>1842049.94</v>
      </c>
      <c r="G10" s="165">
        <f>D10-E10</f>
        <v>200516.06000000006</v>
      </c>
    </row>
    <row r="11" spans="1:7" s="24" customFormat="1" x14ac:dyDescent="0.3">
      <c r="A11" s="164" t="s">
        <v>3298</v>
      </c>
      <c r="B11" s="165">
        <v>18505690</v>
      </c>
      <c r="C11" s="165">
        <v>-78188.460000000079</v>
      </c>
      <c r="D11" s="165">
        <v>18427501.539999999</v>
      </c>
      <c r="E11" s="165">
        <v>18103019.91</v>
      </c>
      <c r="F11" s="165">
        <v>18075129.91</v>
      </c>
      <c r="G11" s="165">
        <f t="shared" ref="G11:G67" si="0">D11-E11</f>
        <v>324481.62999999896</v>
      </c>
    </row>
    <row r="12" spans="1:7" s="24" customFormat="1" x14ac:dyDescent="0.3">
      <c r="A12" s="164" t="s">
        <v>3299</v>
      </c>
      <c r="B12" s="165">
        <v>16073367</v>
      </c>
      <c r="C12" s="165">
        <v>-1019783.1199999999</v>
      </c>
      <c r="D12" s="165">
        <v>15053583.880000001</v>
      </c>
      <c r="E12" s="165">
        <v>12014829.84</v>
      </c>
      <c r="F12" s="165">
        <v>12009776.43</v>
      </c>
      <c r="G12" s="165">
        <f t="shared" si="0"/>
        <v>3038754.040000001</v>
      </c>
    </row>
    <row r="13" spans="1:7" s="24" customFormat="1" x14ac:dyDescent="0.3">
      <c r="A13" s="164" t="s">
        <v>3300</v>
      </c>
      <c r="B13" s="165">
        <v>11255921</v>
      </c>
      <c r="C13" s="165">
        <v>-276811.37</v>
      </c>
      <c r="D13" s="165">
        <v>10979109.630000001</v>
      </c>
      <c r="E13" s="165">
        <v>10094284.76</v>
      </c>
      <c r="F13" s="165">
        <v>10091359.76</v>
      </c>
      <c r="G13" s="165">
        <f t="shared" si="0"/>
        <v>884824.87000000104</v>
      </c>
    </row>
    <row r="14" spans="1:7" s="24" customFormat="1" x14ac:dyDescent="0.3">
      <c r="A14" s="164" t="s">
        <v>3301</v>
      </c>
      <c r="B14" s="165">
        <v>9442538</v>
      </c>
      <c r="C14" s="165">
        <v>-483900.79000000004</v>
      </c>
      <c r="D14" s="165">
        <v>8958637.2100000009</v>
      </c>
      <c r="E14" s="165">
        <v>8430737.7799999993</v>
      </c>
      <c r="F14" s="165">
        <v>8406729.7799999993</v>
      </c>
      <c r="G14" s="165">
        <f t="shared" si="0"/>
        <v>527899.43000000156</v>
      </c>
    </row>
    <row r="15" spans="1:7" s="24" customFormat="1" x14ac:dyDescent="0.3">
      <c r="A15" s="164" t="s">
        <v>3302</v>
      </c>
      <c r="B15" s="165">
        <v>2969273</v>
      </c>
      <c r="C15" s="165">
        <v>-3911.5999999999985</v>
      </c>
      <c r="D15" s="165">
        <v>2965361.4</v>
      </c>
      <c r="E15" s="165">
        <v>2547752.11</v>
      </c>
      <c r="F15" s="165">
        <v>2546777.11</v>
      </c>
      <c r="G15" s="165">
        <f t="shared" si="0"/>
        <v>417609.29000000004</v>
      </c>
    </row>
    <row r="16" spans="1:7" s="24" customFormat="1" x14ac:dyDescent="0.3">
      <c r="A16" s="164" t="s">
        <v>3303</v>
      </c>
      <c r="B16" s="165">
        <v>3467239</v>
      </c>
      <c r="C16" s="165">
        <v>-142923.31</v>
      </c>
      <c r="D16" s="165">
        <v>3324315.69</v>
      </c>
      <c r="E16" s="165">
        <v>2884125.69</v>
      </c>
      <c r="F16" s="165">
        <v>2878500.69</v>
      </c>
      <c r="G16" s="165">
        <f t="shared" si="0"/>
        <v>440190</v>
      </c>
    </row>
    <row r="17" spans="1:7" s="24" customFormat="1" x14ac:dyDescent="0.3">
      <c r="A17" s="164" t="s">
        <v>3304</v>
      </c>
      <c r="B17" s="165">
        <v>8428123</v>
      </c>
      <c r="C17" s="165">
        <v>-95500.750000000029</v>
      </c>
      <c r="D17" s="165">
        <v>8332622.25</v>
      </c>
      <c r="E17" s="165">
        <v>7876334.0499999998</v>
      </c>
      <c r="F17" s="165">
        <v>7862561.0499999998</v>
      </c>
      <c r="G17" s="165">
        <f t="shared" si="0"/>
        <v>456288.20000000019</v>
      </c>
    </row>
    <row r="18" spans="1:7" s="24" customFormat="1" x14ac:dyDescent="0.3">
      <c r="A18" s="164" t="s">
        <v>3305</v>
      </c>
      <c r="B18" s="165">
        <v>1844235</v>
      </c>
      <c r="C18" s="165">
        <v>-5900.93</v>
      </c>
      <c r="D18" s="165">
        <v>1838334.07</v>
      </c>
      <c r="E18" s="165">
        <v>1756606.75</v>
      </c>
      <c r="F18" s="165">
        <v>1752131.68</v>
      </c>
      <c r="G18" s="165">
        <f t="shared" si="0"/>
        <v>81727.320000000065</v>
      </c>
    </row>
    <row r="19" spans="1:7" s="24" customFormat="1" x14ac:dyDescent="0.3">
      <c r="A19" s="164" t="s">
        <v>3306</v>
      </c>
      <c r="B19" s="165">
        <v>2677982</v>
      </c>
      <c r="C19" s="165">
        <v>-2270.6400000000031</v>
      </c>
      <c r="D19" s="165">
        <v>2675711.36</v>
      </c>
      <c r="E19" s="165">
        <v>2580448.91</v>
      </c>
      <c r="F19" s="165">
        <v>2563690.79</v>
      </c>
      <c r="G19" s="165">
        <f t="shared" si="0"/>
        <v>95262.449999999721</v>
      </c>
    </row>
    <row r="20" spans="1:7" s="24" customFormat="1" x14ac:dyDescent="0.3">
      <c r="A20" s="164" t="s">
        <v>3307</v>
      </c>
      <c r="B20" s="165">
        <v>1630231</v>
      </c>
      <c r="C20" s="165">
        <v>-2960.33</v>
      </c>
      <c r="D20" s="165">
        <v>1627270.67</v>
      </c>
      <c r="E20" s="165">
        <v>1346652.3</v>
      </c>
      <c r="F20" s="165">
        <v>1345352.3</v>
      </c>
      <c r="G20" s="165">
        <f t="shared" si="0"/>
        <v>280618.36999999988</v>
      </c>
    </row>
    <row r="21" spans="1:7" s="24" customFormat="1" x14ac:dyDescent="0.3">
      <c r="A21" s="164" t="s">
        <v>3308</v>
      </c>
      <c r="B21" s="165">
        <v>494392</v>
      </c>
      <c r="C21" s="165">
        <v>-3470.54</v>
      </c>
      <c r="D21" s="165">
        <v>490921.46</v>
      </c>
      <c r="E21" s="165">
        <v>452702.9</v>
      </c>
      <c r="F21" s="165">
        <v>452377.9</v>
      </c>
      <c r="G21" s="165">
        <f t="shared" si="0"/>
        <v>38218.559999999998</v>
      </c>
    </row>
    <row r="22" spans="1:7" s="24" customFormat="1" x14ac:dyDescent="0.3">
      <c r="A22" s="164" t="s">
        <v>3309</v>
      </c>
      <c r="B22" s="165">
        <v>2265673</v>
      </c>
      <c r="C22" s="165">
        <v>-8273.6</v>
      </c>
      <c r="D22" s="165">
        <v>2257399.4</v>
      </c>
      <c r="E22" s="165">
        <v>1915759.58</v>
      </c>
      <c r="F22" s="165">
        <v>1903219.58</v>
      </c>
      <c r="G22" s="165">
        <f t="shared" si="0"/>
        <v>341639.81999999983</v>
      </c>
    </row>
    <row r="23" spans="1:7" s="24" customFormat="1" x14ac:dyDescent="0.3">
      <c r="A23" s="164" t="s">
        <v>3310</v>
      </c>
      <c r="B23" s="165">
        <v>8141872</v>
      </c>
      <c r="C23" s="165">
        <v>1301835.1000000001</v>
      </c>
      <c r="D23" s="165">
        <v>9443707.0999999996</v>
      </c>
      <c r="E23" s="165">
        <v>6385940.6699999999</v>
      </c>
      <c r="F23" s="165">
        <v>6026006.7999999998</v>
      </c>
      <c r="G23" s="165">
        <f t="shared" si="0"/>
        <v>3057766.4299999997</v>
      </c>
    </row>
    <row r="24" spans="1:7" s="24" customFormat="1" x14ac:dyDescent="0.3">
      <c r="A24" s="164" t="s">
        <v>3311</v>
      </c>
      <c r="B24" s="165">
        <v>11963763</v>
      </c>
      <c r="C24" s="165">
        <v>89390</v>
      </c>
      <c r="D24" s="165">
        <v>12053153</v>
      </c>
      <c r="E24" s="165">
        <v>11842559.9</v>
      </c>
      <c r="F24" s="165">
        <v>11094405.369999999</v>
      </c>
      <c r="G24" s="165">
        <f t="shared" si="0"/>
        <v>210593.09999999963</v>
      </c>
    </row>
    <row r="25" spans="1:7" s="24" customFormat="1" x14ac:dyDescent="0.3">
      <c r="A25" s="164" t="s">
        <v>3312</v>
      </c>
      <c r="B25" s="165">
        <v>6427107</v>
      </c>
      <c r="C25" s="165">
        <v>142431.58000000002</v>
      </c>
      <c r="D25" s="165">
        <v>6569538.5800000001</v>
      </c>
      <c r="E25" s="165">
        <v>6477578.2300000004</v>
      </c>
      <c r="F25" s="165">
        <v>6464966.8099999996</v>
      </c>
      <c r="G25" s="165">
        <f t="shared" si="0"/>
        <v>91960.349999999627</v>
      </c>
    </row>
    <row r="26" spans="1:7" s="24" customFormat="1" x14ac:dyDescent="0.3">
      <c r="A26" s="164" t="s">
        <v>3313</v>
      </c>
      <c r="B26" s="165">
        <v>12741521</v>
      </c>
      <c r="C26" s="165">
        <v>-482043.67000000004</v>
      </c>
      <c r="D26" s="165">
        <v>12259477.33</v>
      </c>
      <c r="E26" s="165">
        <v>11590678.67</v>
      </c>
      <c r="F26" s="165">
        <v>11330543.84</v>
      </c>
      <c r="G26" s="165">
        <f t="shared" si="0"/>
        <v>668798.66000000015</v>
      </c>
    </row>
    <row r="27" spans="1:7" s="24" customFormat="1" x14ac:dyDescent="0.3">
      <c r="A27" s="164" t="s">
        <v>3314</v>
      </c>
      <c r="B27" s="165">
        <v>1893196</v>
      </c>
      <c r="C27" s="165">
        <v>38451.959999999992</v>
      </c>
      <c r="D27" s="165">
        <v>1931647.96</v>
      </c>
      <c r="E27" s="165">
        <v>1848163.02</v>
      </c>
      <c r="F27" s="165">
        <v>1772925.15</v>
      </c>
      <c r="G27" s="165">
        <f t="shared" si="0"/>
        <v>83484.939999999944</v>
      </c>
    </row>
    <row r="28" spans="1:7" s="24" customFormat="1" x14ac:dyDescent="0.3">
      <c r="A28" s="164" t="s">
        <v>3315</v>
      </c>
      <c r="B28" s="165">
        <v>9399648</v>
      </c>
      <c r="C28" s="165">
        <v>519399.20999999996</v>
      </c>
      <c r="D28" s="165">
        <v>9919047.2100000009</v>
      </c>
      <c r="E28" s="165">
        <v>9616750.4199999999</v>
      </c>
      <c r="F28" s="165">
        <v>9431775.4600000009</v>
      </c>
      <c r="G28" s="165">
        <f t="shared" si="0"/>
        <v>302296.79000000097</v>
      </c>
    </row>
    <row r="29" spans="1:7" s="24" customFormat="1" x14ac:dyDescent="0.3">
      <c r="A29" s="164" t="s">
        <v>3316</v>
      </c>
      <c r="B29" s="165">
        <v>39234642.960000001</v>
      </c>
      <c r="C29" s="165">
        <v>38057863.689999998</v>
      </c>
      <c r="D29" s="165">
        <v>77292506.650000006</v>
      </c>
      <c r="E29" s="165">
        <v>75549214.569999993</v>
      </c>
      <c r="F29" s="165">
        <v>67953501.980000004</v>
      </c>
      <c r="G29" s="165">
        <f t="shared" si="0"/>
        <v>1743292.0800000131</v>
      </c>
    </row>
    <row r="30" spans="1:7" s="24" customFormat="1" x14ac:dyDescent="0.3">
      <c r="A30" s="164" t="s">
        <v>3317</v>
      </c>
      <c r="B30" s="165">
        <v>3616161</v>
      </c>
      <c r="C30" s="165">
        <v>130141.14000000001</v>
      </c>
      <c r="D30" s="165">
        <v>3746302.14</v>
      </c>
      <c r="E30" s="165">
        <v>3388473.89</v>
      </c>
      <c r="F30" s="165">
        <v>3365620.89</v>
      </c>
      <c r="G30" s="165">
        <f t="shared" si="0"/>
        <v>357828.25</v>
      </c>
    </row>
    <row r="31" spans="1:7" s="24" customFormat="1" x14ac:dyDescent="0.3">
      <c r="A31" s="164" t="s">
        <v>3318</v>
      </c>
      <c r="B31" s="165">
        <v>4271990</v>
      </c>
      <c r="C31" s="165">
        <v>7681.93</v>
      </c>
      <c r="D31" s="165">
        <v>4279671.93</v>
      </c>
      <c r="E31" s="165">
        <v>4071285.87</v>
      </c>
      <c r="F31" s="165">
        <v>4048915.41</v>
      </c>
      <c r="G31" s="165">
        <f t="shared" si="0"/>
        <v>208386.05999999959</v>
      </c>
    </row>
    <row r="32" spans="1:7" s="24" customFormat="1" x14ac:dyDescent="0.3">
      <c r="A32" s="164" t="s">
        <v>3319</v>
      </c>
      <c r="B32" s="165">
        <v>11909594</v>
      </c>
      <c r="C32" s="165">
        <v>-459489.61999999994</v>
      </c>
      <c r="D32" s="165">
        <v>11450104.380000001</v>
      </c>
      <c r="E32" s="165">
        <v>10591175.210000001</v>
      </c>
      <c r="F32" s="165">
        <v>10561260.630000001</v>
      </c>
      <c r="G32" s="165">
        <f t="shared" si="0"/>
        <v>858929.16999999993</v>
      </c>
    </row>
    <row r="33" spans="1:7" s="24" customFormat="1" x14ac:dyDescent="0.3">
      <c r="A33" s="164" t="s">
        <v>3320</v>
      </c>
      <c r="B33" s="165">
        <v>42393534</v>
      </c>
      <c r="C33" s="165">
        <v>8462408.6500000004</v>
      </c>
      <c r="D33" s="165">
        <v>50855942.649999999</v>
      </c>
      <c r="E33" s="165">
        <v>48579187.880000003</v>
      </c>
      <c r="F33" s="165">
        <v>48115062.240000002</v>
      </c>
      <c r="G33" s="165">
        <f t="shared" si="0"/>
        <v>2276754.7699999958</v>
      </c>
    </row>
    <row r="34" spans="1:7" s="24" customFormat="1" x14ac:dyDescent="0.3">
      <c r="A34" s="164" t="s">
        <v>3321</v>
      </c>
      <c r="B34" s="165">
        <v>17166282</v>
      </c>
      <c r="C34" s="165">
        <v>11504699.67</v>
      </c>
      <c r="D34" s="165">
        <v>28670981.670000002</v>
      </c>
      <c r="E34" s="165">
        <v>27002104.43</v>
      </c>
      <c r="F34" s="165">
        <v>26892871.719999999</v>
      </c>
      <c r="G34" s="165">
        <f t="shared" si="0"/>
        <v>1668877.2400000021</v>
      </c>
    </row>
    <row r="35" spans="1:7" s="24" customFormat="1" x14ac:dyDescent="0.3">
      <c r="A35" s="164" t="s">
        <v>3322</v>
      </c>
      <c r="B35" s="165">
        <v>3524805</v>
      </c>
      <c r="C35" s="165">
        <v>1303150.3599999999</v>
      </c>
      <c r="D35" s="165">
        <v>4827955.3600000003</v>
      </c>
      <c r="E35" s="165">
        <v>4737501.0199999996</v>
      </c>
      <c r="F35" s="165">
        <v>4727489.4400000004</v>
      </c>
      <c r="G35" s="165">
        <f t="shared" si="0"/>
        <v>90454.340000000782</v>
      </c>
    </row>
    <row r="36" spans="1:7" s="24" customFormat="1" x14ac:dyDescent="0.3">
      <c r="A36" s="164" t="s">
        <v>3323</v>
      </c>
      <c r="B36" s="165">
        <v>1774305</v>
      </c>
      <c r="C36" s="165">
        <v>47289.380000000005</v>
      </c>
      <c r="D36" s="165">
        <v>1821594.38</v>
      </c>
      <c r="E36" s="165">
        <v>1721499.84</v>
      </c>
      <c r="F36" s="165">
        <v>1718587.84</v>
      </c>
      <c r="G36" s="165">
        <f t="shared" si="0"/>
        <v>100094.5399999998</v>
      </c>
    </row>
    <row r="37" spans="1:7" s="24" customFormat="1" x14ac:dyDescent="0.3">
      <c r="A37" s="164" t="s">
        <v>3324</v>
      </c>
      <c r="B37" s="165">
        <v>3641742</v>
      </c>
      <c r="C37" s="165">
        <v>-188973.13</v>
      </c>
      <c r="D37" s="165">
        <v>3452768.87</v>
      </c>
      <c r="E37" s="165">
        <v>3326299.8</v>
      </c>
      <c r="F37" s="165">
        <v>3321749.8</v>
      </c>
      <c r="G37" s="165">
        <f t="shared" si="0"/>
        <v>126469.0700000003</v>
      </c>
    </row>
    <row r="38" spans="1:7" s="24" customFormat="1" x14ac:dyDescent="0.3">
      <c r="A38" s="164" t="s">
        <v>3325</v>
      </c>
      <c r="B38" s="165">
        <v>5642622</v>
      </c>
      <c r="C38" s="165">
        <v>-221335.23</v>
      </c>
      <c r="D38" s="165">
        <v>5421286.7699999996</v>
      </c>
      <c r="E38" s="165">
        <v>5350165.25</v>
      </c>
      <c r="F38" s="165">
        <v>5307802.47</v>
      </c>
      <c r="G38" s="165">
        <f t="shared" si="0"/>
        <v>71121.519999999553</v>
      </c>
    </row>
    <row r="39" spans="1:7" s="24" customFormat="1" x14ac:dyDescent="0.3">
      <c r="A39" s="164" t="s">
        <v>3326</v>
      </c>
      <c r="B39" s="165">
        <v>4668466</v>
      </c>
      <c r="C39" s="165">
        <v>-165971.88999999998</v>
      </c>
      <c r="D39" s="165">
        <v>4502494.1100000003</v>
      </c>
      <c r="E39" s="165">
        <v>4340845.28</v>
      </c>
      <c r="F39" s="165">
        <v>4336195.28</v>
      </c>
      <c r="G39" s="165">
        <f t="shared" si="0"/>
        <v>161648.83000000007</v>
      </c>
    </row>
    <row r="40" spans="1:7" s="24" customFormat="1" x14ac:dyDescent="0.3">
      <c r="A40" s="164" t="s">
        <v>3327</v>
      </c>
      <c r="B40" s="165">
        <v>2143957</v>
      </c>
      <c r="C40" s="165">
        <v>-1033432.55</v>
      </c>
      <c r="D40" s="165">
        <v>1110524.45</v>
      </c>
      <c r="E40" s="165">
        <v>1028540.03</v>
      </c>
      <c r="F40" s="165">
        <v>1013215.03</v>
      </c>
      <c r="G40" s="165">
        <f t="shared" si="0"/>
        <v>81984.419999999925</v>
      </c>
    </row>
    <row r="41" spans="1:7" s="24" customFormat="1" x14ac:dyDescent="0.3">
      <c r="A41" s="164" t="s">
        <v>3328</v>
      </c>
      <c r="B41" s="165">
        <v>5202007</v>
      </c>
      <c r="C41" s="165">
        <v>1245299.99</v>
      </c>
      <c r="D41" s="165">
        <v>6447306.9900000002</v>
      </c>
      <c r="E41" s="165">
        <v>6360010.2199999997</v>
      </c>
      <c r="F41" s="165">
        <v>6355035.2199999997</v>
      </c>
      <c r="G41" s="165">
        <f t="shared" si="0"/>
        <v>87296.770000000484</v>
      </c>
    </row>
    <row r="42" spans="1:7" s="24" customFormat="1" x14ac:dyDescent="0.3">
      <c r="A42" s="164" t="s">
        <v>3329</v>
      </c>
      <c r="B42" s="165">
        <v>3586514</v>
      </c>
      <c r="C42" s="165">
        <v>-111411.69</v>
      </c>
      <c r="D42" s="165">
        <v>3475102.31</v>
      </c>
      <c r="E42" s="165">
        <v>3274661.63</v>
      </c>
      <c r="F42" s="165">
        <v>3271411.63</v>
      </c>
      <c r="G42" s="165">
        <f t="shared" si="0"/>
        <v>200440.68000000017</v>
      </c>
    </row>
    <row r="43" spans="1:7" s="24" customFormat="1" x14ac:dyDescent="0.3">
      <c r="A43" s="164" t="s">
        <v>3330</v>
      </c>
      <c r="B43" s="165">
        <v>3132142</v>
      </c>
      <c r="C43" s="165">
        <v>29327851.589999996</v>
      </c>
      <c r="D43" s="165">
        <v>32459993.59</v>
      </c>
      <c r="E43" s="165">
        <v>22164380.84</v>
      </c>
      <c r="F43" s="165">
        <v>21278156.890000001</v>
      </c>
      <c r="G43" s="165">
        <f t="shared" si="0"/>
        <v>10295612.75</v>
      </c>
    </row>
    <row r="44" spans="1:7" s="24" customFormat="1" x14ac:dyDescent="0.3">
      <c r="A44" s="164" t="s">
        <v>3331</v>
      </c>
      <c r="B44" s="165">
        <v>6254386</v>
      </c>
      <c r="C44" s="165">
        <v>774849.00000000012</v>
      </c>
      <c r="D44" s="165">
        <v>7029235</v>
      </c>
      <c r="E44" s="165">
        <v>6612789.6500000004</v>
      </c>
      <c r="F44" s="165">
        <v>6530947.2199999997</v>
      </c>
      <c r="G44" s="165">
        <f t="shared" si="0"/>
        <v>416445.34999999963</v>
      </c>
    </row>
    <row r="45" spans="1:7" s="24" customFormat="1" x14ac:dyDescent="0.3">
      <c r="A45" s="164" t="s">
        <v>3332</v>
      </c>
      <c r="B45" s="165">
        <v>20390298</v>
      </c>
      <c r="C45" s="165">
        <v>601507.95000000007</v>
      </c>
      <c r="D45" s="165">
        <v>20991805.949999999</v>
      </c>
      <c r="E45" s="165">
        <v>20579704.809999999</v>
      </c>
      <c r="F45" s="165">
        <v>20255908.629999999</v>
      </c>
      <c r="G45" s="165">
        <f t="shared" si="0"/>
        <v>412101.1400000006</v>
      </c>
    </row>
    <row r="46" spans="1:7" s="24" customFormat="1" x14ac:dyDescent="0.3">
      <c r="A46" s="164" t="s">
        <v>3333</v>
      </c>
      <c r="B46" s="165">
        <v>3235233</v>
      </c>
      <c r="C46" s="165">
        <v>-1267259.5799999998</v>
      </c>
      <c r="D46" s="165">
        <v>1967973.42</v>
      </c>
      <c r="E46" s="165">
        <v>642099.06000000006</v>
      </c>
      <c r="F46" s="165">
        <v>616836.06000000006</v>
      </c>
      <c r="G46" s="165">
        <f t="shared" si="0"/>
        <v>1325874.3599999999</v>
      </c>
    </row>
    <row r="47" spans="1:7" s="24" customFormat="1" x14ac:dyDescent="0.3">
      <c r="A47" s="164" t="s">
        <v>3334</v>
      </c>
      <c r="B47" s="165">
        <v>36619524</v>
      </c>
      <c r="C47" s="165">
        <v>2940209.8</v>
      </c>
      <c r="D47" s="165">
        <v>39559733.799999997</v>
      </c>
      <c r="E47" s="165">
        <v>37252993.460000001</v>
      </c>
      <c r="F47" s="165">
        <v>36759754.549999997</v>
      </c>
      <c r="G47" s="165">
        <f t="shared" si="0"/>
        <v>2306740.3399999961</v>
      </c>
    </row>
    <row r="48" spans="1:7" s="24" customFormat="1" x14ac:dyDescent="0.3">
      <c r="A48" s="164" t="s">
        <v>3335</v>
      </c>
      <c r="B48" s="165">
        <v>20016073</v>
      </c>
      <c r="C48" s="165">
        <v>10853930.59</v>
      </c>
      <c r="D48" s="165">
        <v>30870003.59</v>
      </c>
      <c r="E48" s="165">
        <v>28012108.390000001</v>
      </c>
      <c r="F48" s="165">
        <v>27825783.239999998</v>
      </c>
      <c r="G48" s="165">
        <f t="shared" si="0"/>
        <v>2857895.1999999993</v>
      </c>
    </row>
    <row r="49" spans="1:7" s="24" customFormat="1" x14ac:dyDescent="0.3">
      <c r="A49" s="164" t="s">
        <v>3336</v>
      </c>
      <c r="B49" s="165">
        <v>7522833</v>
      </c>
      <c r="C49" s="165">
        <v>-71724.400000000023</v>
      </c>
      <c r="D49" s="165">
        <v>7451108.5999999996</v>
      </c>
      <c r="E49" s="165">
        <v>6821356.5999999996</v>
      </c>
      <c r="F49" s="165">
        <v>6777129.4100000001</v>
      </c>
      <c r="G49" s="165">
        <f t="shared" si="0"/>
        <v>629752</v>
      </c>
    </row>
    <row r="50" spans="1:7" s="24" customFormat="1" x14ac:dyDescent="0.3">
      <c r="A50" s="164" t="s">
        <v>3337</v>
      </c>
      <c r="B50" s="165">
        <v>6237029</v>
      </c>
      <c r="C50" s="165">
        <v>-9633.3999999999942</v>
      </c>
      <c r="D50" s="165">
        <v>6227395.5999999996</v>
      </c>
      <c r="E50" s="165">
        <v>5178499.2300000004</v>
      </c>
      <c r="F50" s="165">
        <v>5171349.2300000004</v>
      </c>
      <c r="G50" s="165">
        <f t="shared" si="0"/>
        <v>1048896.3699999992</v>
      </c>
    </row>
    <row r="51" spans="1:7" s="24" customFormat="1" x14ac:dyDescent="0.3">
      <c r="A51" s="164" t="s">
        <v>3338</v>
      </c>
      <c r="B51" s="165">
        <v>3442555</v>
      </c>
      <c r="C51" s="165">
        <v>122143.75</v>
      </c>
      <c r="D51" s="165">
        <v>3564698.75</v>
      </c>
      <c r="E51" s="165">
        <v>3442712.47</v>
      </c>
      <c r="F51" s="165">
        <v>3430437.21</v>
      </c>
      <c r="G51" s="165">
        <f t="shared" si="0"/>
        <v>121986.2799999998</v>
      </c>
    </row>
    <row r="52" spans="1:7" s="24" customFormat="1" x14ac:dyDescent="0.3">
      <c r="A52" s="164" t="s">
        <v>3339</v>
      </c>
      <c r="B52" s="165">
        <v>7965836</v>
      </c>
      <c r="C52" s="165">
        <v>-2582181.2200000002</v>
      </c>
      <c r="D52" s="165">
        <v>5383654.7800000003</v>
      </c>
      <c r="E52" s="165">
        <v>4403639.9400000004</v>
      </c>
      <c r="F52" s="165">
        <v>4375987.45</v>
      </c>
      <c r="G52" s="165">
        <f t="shared" si="0"/>
        <v>980014.83999999985</v>
      </c>
    </row>
    <row r="53" spans="1:7" s="24" customFormat="1" x14ac:dyDescent="0.3">
      <c r="A53" s="164" t="s">
        <v>3340</v>
      </c>
      <c r="B53" s="165">
        <v>2343814</v>
      </c>
      <c r="C53" s="165">
        <v>-1777.9300000000003</v>
      </c>
      <c r="D53" s="165">
        <v>2342036.0699999998</v>
      </c>
      <c r="E53" s="165">
        <v>1992282.82</v>
      </c>
      <c r="F53" s="165">
        <v>1990332.82</v>
      </c>
      <c r="G53" s="165">
        <f t="shared" si="0"/>
        <v>349753.24999999977</v>
      </c>
    </row>
    <row r="54" spans="1:7" s="24" customFormat="1" x14ac:dyDescent="0.3">
      <c r="A54" s="164" t="s">
        <v>3341</v>
      </c>
      <c r="B54" s="165">
        <v>3187552</v>
      </c>
      <c r="C54" s="165">
        <v>-2945.010000000002</v>
      </c>
      <c r="D54" s="165">
        <v>3184606.99</v>
      </c>
      <c r="E54" s="165">
        <v>2970558.27</v>
      </c>
      <c r="F54" s="165">
        <v>2968283.27</v>
      </c>
      <c r="G54" s="165">
        <f t="shared" si="0"/>
        <v>214048.7200000002</v>
      </c>
    </row>
    <row r="55" spans="1:7" s="24" customFormat="1" x14ac:dyDescent="0.3">
      <c r="A55" s="164" t="s">
        <v>3342</v>
      </c>
      <c r="B55" s="165">
        <v>3167802</v>
      </c>
      <c r="C55" s="165">
        <v>1052958.8499999999</v>
      </c>
      <c r="D55" s="165">
        <v>4220760.8499999996</v>
      </c>
      <c r="E55" s="165">
        <v>4033752.84</v>
      </c>
      <c r="F55" s="165">
        <v>4032452.84</v>
      </c>
      <c r="G55" s="165">
        <f t="shared" si="0"/>
        <v>187008.00999999978</v>
      </c>
    </row>
    <row r="56" spans="1:7" s="24" customFormat="1" x14ac:dyDescent="0.3">
      <c r="A56" s="164" t="s">
        <v>3343</v>
      </c>
      <c r="B56" s="165">
        <v>1990721</v>
      </c>
      <c r="C56" s="165">
        <v>-3480.9</v>
      </c>
      <c r="D56" s="165">
        <v>1987240.1</v>
      </c>
      <c r="E56" s="165">
        <v>1822218.17</v>
      </c>
      <c r="F56" s="165">
        <v>1820593.17</v>
      </c>
      <c r="G56" s="165">
        <f t="shared" si="0"/>
        <v>165021.93000000017</v>
      </c>
    </row>
    <row r="57" spans="1:7" s="24" customFormat="1" x14ac:dyDescent="0.3">
      <c r="A57" s="164" t="s">
        <v>3344</v>
      </c>
      <c r="B57" s="165">
        <v>5623150</v>
      </c>
      <c r="C57" s="165">
        <v>-12110.690000000002</v>
      </c>
      <c r="D57" s="165">
        <v>5611039.3099999996</v>
      </c>
      <c r="E57" s="165">
        <v>4894461.59</v>
      </c>
      <c r="F57" s="165">
        <v>4877801.6500000004</v>
      </c>
      <c r="G57" s="165">
        <f t="shared" si="0"/>
        <v>716577.71999999974</v>
      </c>
    </row>
    <row r="58" spans="1:7" s="24" customFormat="1" x14ac:dyDescent="0.3">
      <c r="A58" s="164" t="s">
        <v>3345</v>
      </c>
      <c r="B58" s="165">
        <v>3383147</v>
      </c>
      <c r="C58" s="165">
        <v>-868.83999999999651</v>
      </c>
      <c r="D58" s="165">
        <v>3382278.16</v>
      </c>
      <c r="E58" s="165">
        <v>3321892.57</v>
      </c>
      <c r="F58" s="165">
        <v>3318317.57</v>
      </c>
      <c r="G58" s="165">
        <f t="shared" si="0"/>
        <v>60385.590000000317</v>
      </c>
    </row>
    <row r="59" spans="1:7" s="24" customFormat="1" x14ac:dyDescent="0.3">
      <c r="A59" s="164" t="s">
        <v>3346</v>
      </c>
      <c r="B59" s="165">
        <v>6234003</v>
      </c>
      <c r="C59" s="165">
        <v>818849.8</v>
      </c>
      <c r="D59" s="165">
        <v>7052852.7999999998</v>
      </c>
      <c r="E59" s="165">
        <v>6787360.7599999998</v>
      </c>
      <c r="F59" s="165">
        <v>6657010.75</v>
      </c>
      <c r="G59" s="165">
        <f t="shared" si="0"/>
        <v>265492.04000000004</v>
      </c>
    </row>
    <row r="60" spans="1:7" s="24" customFormat="1" x14ac:dyDescent="0.3">
      <c r="A60" s="164" t="s">
        <v>3347</v>
      </c>
      <c r="B60" s="165">
        <v>969841</v>
      </c>
      <c r="C60" s="165">
        <v>49545.02</v>
      </c>
      <c r="D60" s="165">
        <v>1019386.02</v>
      </c>
      <c r="E60" s="165">
        <v>659093.82999999996</v>
      </c>
      <c r="F60" s="165">
        <v>659093.82999999996</v>
      </c>
      <c r="G60" s="165">
        <f t="shared" si="0"/>
        <v>360292.19000000006</v>
      </c>
    </row>
    <row r="61" spans="1:7" s="24" customFormat="1" x14ac:dyDescent="0.3">
      <c r="A61" s="164" t="s">
        <v>3348</v>
      </c>
      <c r="B61" s="165">
        <v>1163690</v>
      </c>
      <c r="C61" s="165">
        <v>-51560</v>
      </c>
      <c r="D61" s="165">
        <v>1112130</v>
      </c>
      <c r="E61" s="165">
        <v>903575.91</v>
      </c>
      <c r="F61" s="165">
        <v>863250.91</v>
      </c>
      <c r="G61" s="165">
        <f t="shared" si="0"/>
        <v>208554.08999999997</v>
      </c>
    </row>
    <row r="62" spans="1:7" s="24" customFormat="1" x14ac:dyDescent="0.3">
      <c r="A62" s="164" t="s">
        <v>3349</v>
      </c>
      <c r="B62" s="165">
        <v>1661527</v>
      </c>
      <c r="C62" s="165">
        <v>-1415.94</v>
      </c>
      <c r="D62" s="165">
        <v>1660111.06</v>
      </c>
      <c r="E62" s="165">
        <v>1530105.48</v>
      </c>
      <c r="F62" s="165">
        <v>1529455.48</v>
      </c>
      <c r="G62" s="165">
        <f t="shared" si="0"/>
        <v>130005.58000000007</v>
      </c>
    </row>
    <row r="63" spans="1:7" s="24" customFormat="1" x14ac:dyDescent="0.3">
      <c r="A63" s="164" t="s">
        <v>3350</v>
      </c>
      <c r="B63" s="165">
        <v>10986991</v>
      </c>
      <c r="C63" s="165">
        <v>22707.829999999987</v>
      </c>
      <c r="D63" s="165">
        <v>11009698.83</v>
      </c>
      <c r="E63" s="165">
        <v>9006073.4700000007</v>
      </c>
      <c r="F63" s="165">
        <v>8994573.4700000007</v>
      </c>
      <c r="G63" s="165">
        <f t="shared" si="0"/>
        <v>2003625.3599999994</v>
      </c>
    </row>
    <row r="64" spans="1:7" s="24" customFormat="1" x14ac:dyDescent="0.3">
      <c r="A64" s="164" t="s">
        <v>3351</v>
      </c>
      <c r="B64" s="165">
        <v>2796264</v>
      </c>
      <c r="C64" s="165">
        <v>-3809.4599999999919</v>
      </c>
      <c r="D64" s="165">
        <v>2792454.54</v>
      </c>
      <c r="E64" s="165">
        <v>2437087.77</v>
      </c>
      <c r="F64" s="165">
        <v>2431037.77</v>
      </c>
      <c r="G64" s="165">
        <f t="shared" si="0"/>
        <v>355366.77</v>
      </c>
    </row>
    <row r="65" spans="1:7" s="24" customFormat="1" x14ac:dyDescent="0.3">
      <c r="A65" s="164" t="s">
        <v>3352</v>
      </c>
      <c r="B65" s="165">
        <v>18264280</v>
      </c>
      <c r="C65" s="165">
        <v>0</v>
      </c>
      <c r="D65" s="165">
        <v>18264280</v>
      </c>
      <c r="E65" s="165">
        <v>18264279.960000001</v>
      </c>
      <c r="F65" s="165">
        <v>18264279.960000001</v>
      </c>
      <c r="G65" s="165">
        <f t="shared" si="0"/>
        <v>3.9999999105930328E-2</v>
      </c>
    </row>
    <row r="66" spans="1:7" s="24" customFormat="1" x14ac:dyDescent="0.3">
      <c r="A66" s="164" t="s">
        <v>3353</v>
      </c>
      <c r="B66" s="165">
        <v>6506212</v>
      </c>
      <c r="C66" s="165">
        <v>869128.14</v>
      </c>
      <c r="D66" s="165">
        <v>7375340.1399999997</v>
      </c>
      <c r="E66" s="165">
        <v>7375339.8600000003</v>
      </c>
      <c r="F66" s="165">
        <v>7375339.8600000003</v>
      </c>
      <c r="G66" s="165">
        <f t="shared" si="0"/>
        <v>0.27999999932944775</v>
      </c>
    </row>
    <row r="67" spans="1:7" s="24" customFormat="1" x14ac:dyDescent="0.3">
      <c r="A67" s="164" t="s">
        <v>3354</v>
      </c>
      <c r="B67" s="165">
        <v>7360807</v>
      </c>
      <c r="C67" s="165">
        <v>0</v>
      </c>
      <c r="D67" s="165">
        <v>7360807</v>
      </c>
      <c r="E67" s="165">
        <v>7360807</v>
      </c>
      <c r="F67" s="165">
        <v>7360807</v>
      </c>
      <c r="G67" s="165">
        <f t="shared" si="0"/>
        <v>0</v>
      </c>
    </row>
    <row r="68" spans="1:7" x14ac:dyDescent="0.3">
      <c r="A68" s="76" t="s">
        <v>678</v>
      </c>
      <c r="B68" s="54"/>
      <c r="C68" s="54"/>
      <c r="D68" s="54"/>
      <c r="E68" s="54"/>
      <c r="F68" s="54"/>
      <c r="G68" s="54"/>
    </row>
    <row r="69" spans="1:7" s="24" customFormat="1" x14ac:dyDescent="0.3">
      <c r="A69" s="55" t="s">
        <v>433</v>
      </c>
      <c r="B69" s="61">
        <f>SUM(B70:GASTO_E_FIN_01)</f>
        <v>173201561</v>
      </c>
      <c r="C69" s="61">
        <f>SUM(C70:GASTO_E_FIN_02)</f>
        <v>161866018.49000001</v>
      </c>
      <c r="D69" s="61">
        <f>SUM(D70:GASTO_E_FIN_03)</f>
        <v>335067579.49000001</v>
      </c>
      <c r="E69" s="61">
        <f>SUM(E70:GASTO_E_FIN_04)</f>
        <v>278730859.5</v>
      </c>
      <c r="F69" s="61">
        <f>SUM(F70:GASTO_E_FIN_05)</f>
        <v>258896784.66</v>
      </c>
      <c r="G69" s="61">
        <f>SUM(G70:GASTO_E_FIN_06)</f>
        <v>56336719.989999995</v>
      </c>
    </row>
    <row r="70" spans="1:7" s="24" customFormat="1" x14ac:dyDescent="0.3">
      <c r="A70" s="164" t="s">
        <v>3310</v>
      </c>
      <c r="B70" s="165">
        <v>4015516</v>
      </c>
      <c r="C70" s="165">
        <v>-280944.38</v>
      </c>
      <c r="D70" s="165">
        <v>3734571.62</v>
      </c>
      <c r="E70" s="165">
        <v>3734571.62</v>
      </c>
      <c r="F70" s="165">
        <v>3734571.62</v>
      </c>
      <c r="G70" s="165">
        <f>D70-E70</f>
        <v>0</v>
      </c>
    </row>
    <row r="71" spans="1:7" s="24" customFormat="1" x14ac:dyDescent="0.3">
      <c r="A71" s="164" t="s">
        <v>3318</v>
      </c>
      <c r="B71" s="165">
        <v>0</v>
      </c>
      <c r="C71" s="165">
        <v>1401100</v>
      </c>
      <c r="D71" s="165">
        <v>1401100</v>
      </c>
      <c r="E71" s="165">
        <v>1253451.23</v>
      </c>
      <c r="F71" s="165">
        <v>1253451.23</v>
      </c>
      <c r="G71" s="165">
        <f t="shared" ref="G71:G84" si="1">D71-E71</f>
        <v>147648.77000000002</v>
      </c>
    </row>
    <row r="72" spans="1:7" s="24" customFormat="1" x14ac:dyDescent="0.3">
      <c r="A72" s="164" t="s">
        <v>3321</v>
      </c>
      <c r="B72" s="165">
        <v>12766000</v>
      </c>
      <c r="C72" s="165">
        <v>6315952.2999999998</v>
      </c>
      <c r="D72" s="165">
        <v>19081952.300000001</v>
      </c>
      <c r="E72" s="165">
        <v>19081952.300000001</v>
      </c>
      <c r="F72" s="165">
        <v>16242283.199999999</v>
      </c>
      <c r="G72" s="165">
        <f t="shared" si="1"/>
        <v>0</v>
      </c>
    </row>
    <row r="73" spans="1:7" s="24" customFormat="1" x14ac:dyDescent="0.3">
      <c r="A73" s="164" t="s">
        <v>3328</v>
      </c>
      <c r="B73" s="165">
        <v>0</v>
      </c>
      <c r="C73" s="165">
        <v>943076.85</v>
      </c>
      <c r="D73" s="165">
        <v>943076.85</v>
      </c>
      <c r="E73" s="165">
        <v>943031.26</v>
      </c>
      <c r="F73" s="165">
        <v>943031.26</v>
      </c>
      <c r="G73" s="165">
        <f t="shared" si="1"/>
        <v>45.589999999967404</v>
      </c>
    </row>
    <row r="74" spans="1:7" s="24" customFormat="1" x14ac:dyDescent="0.3">
      <c r="A74" s="164" t="s">
        <v>3330</v>
      </c>
      <c r="B74" s="165">
        <v>44957895</v>
      </c>
      <c r="C74" s="165">
        <v>139783648.22999999</v>
      </c>
      <c r="D74" s="165">
        <v>184741543.22999999</v>
      </c>
      <c r="E74" s="165">
        <v>128685725.16</v>
      </c>
      <c r="F74" s="165">
        <v>113562780.48999999</v>
      </c>
      <c r="G74" s="165">
        <f t="shared" si="1"/>
        <v>56055818.069999993</v>
      </c>
    </row>
    <row r="75" spans="1:7" s="24" customFormat="1" x14ac:dyDescent="0.3">
      <c r="A75" s="164" t="s">
        <v>3333</v>
      </c>
      <c r="B75" s="165">
        <v>3323419</v>
      </c>
      <c r="C75" s="165">
        <v>-439579.86000000004</v>
      </c>
      <c r="D75" s="165">
        <v>2883839.14</v>
      </c>
      <c r="E75" s="165">
        <v>2883839.14</v>
      </c>
      <c r="F75" s="165">
        <v>2882864.14</v>
      </c>
      <c r="G75" s="165">
        <f t="shared" si="1"/>
        <v>0</v>
      </c>
    </row>
    <row r="76" spans="1:7" s="24" customFormat="1" x14ac:dyDescent="0.3">
      <c r="A76" s="164" t="s">
        <v>3334</v>
      </c>
      <c r="B76" s="165">
        <v>0</v>
      </c>
      <c r="C76" s="165">
        <v>1003500</v>
      </c>
      <c r="D76" s="165">
        <v>1003500</v>
      </c>
      <c r="E76" s="165">
        <v>987460.77</v>
      </c>
      <c r="F76" s="165">
        <v>987460.77</v>
      </c>
      <c r="G76" s="165">
        <f t="shared" si="1"/>
        <v>16039.229999999981</v>
      </c>
    </row>
    <row r="77" spans="1:7" s="24" customFormat="1" x14ac:dyDescent="0.3">
      <c r="A77" s="164" t="s">
        <v>3335</v>
      </c>
      <c r="B77" s="165">
        <v>100998627</v>
      </c>
      <c r="C77" s="165">
        <v>-1956587.3200000003</v>
      </c>
      <c r="D77" s="165">
        <v>99042039.680000007</v>
      </c>
      <c r="E77" s="165">
        <v>98932372.530000001</v>
      </c>
      <c r="F77" s="165">
        <v>97722886.450000003</v>
      </c>
      <c r="G77" s="165">
        <f t="shared" si="1"/>
        <v>109667.15000000596</v>
      </c>
    </row>
    <row r="78" spans="1:7" s="24" customFormat="1" x14ac:dyDescent="0.3">
      <c r="A78" s="164" t="s">
        <v>3336</v>
      </c>
      <c r="B78" s="165">
        <v>0</v>
      </c>
      <c r="C78" s="165">
        <v>160500</v>
      </c>
      <c r="D78" s="165">
        <v>160500</v>
      </c>
      <c r="E78" s="165">
        <v>153000</v>
      </c>
      <c r="F78" s="165">
        <v>152000</v>
      </c>
      <c r="G78" s="165">
        <f t="shared" si="1"/>
        <v>7500</v>
      </c>
    </row>
    <row r="79" spans="1:7" s="24" customFormat="1" x14ac:dyDescent="0.3">
      <c r="A79" s="164" t="s">
        <v>3337</v>
      </c>
      <c r="B79" s="165">
        <v>0</v>
      </c>
      <c r="C79" s="165">
        <v>315840</v>
      </c>
      <c r="D79" s="165">
        <v>315840</v>
      </c>
      <c r="E79" s="165">
        <v>315840</v>
      </c>
      <c r="F79" s="165">
        <v>315840</v>
      </c>
      <c r="G79" s="165">
        <f t="shared" si="1"/>
        <v>0</v>
      </c>
    </row>
    <row r="80" spans="1:7" s="24" customFormat="1" x14ac:dyDescent="0.3">
      <c r="A80" s="164" t="s">
        <v>3339</v>
      </c>
      <c r="B80" s="165">
        <v>0</v>
      </c>
      <c r="C80" s="165">
        <v>4434550.2699999996</v>
      </c>
      <c r="D80" s="165">
        <v>4434550.2699999996</v>
      </c>
      <c r="E80" s="165">
        <v>4434550.2699999996</v>
      </c>
      <c r="F80" s="165">
        <v>4434550.2699999996</v>
      </c>
      <c r="G80" s="165">
        <f t="shared" si="1"/>
        <v>0</v>
      </c>
    </row>
    <row r="81" spans="1:7" s="24" customFormat="1" x14ac:dyDescent="0.3">
      <c r="A81" s="164" t="s">
        <v>3342</v>
      </c>
      <c r="B81" s="165">
        <v>0</v>
      </c>
      <c r="C81" s="165">
        <v>1043270.8</v>
      </c>
      <c r="D81" s="165">
        <v>1043270.8</v>
      </c>
      <c r="E81" s="165">
        <v>1043270.8</v>
      </c>
      <c r="F81" s="165">
        <v>1043270.8</v>
      </c>
      <c r="G81" s="165">
        <f t="shared" si="1"/>
        <v>0</v>
      </c>
    </row>
    <row r="82" spans="1:7" s="24" customFormat="1" x14ac:dyDescent="0.3">
      <c r="A82" s="164" t="s">
        <v>3346</v>
      </c>
      <c r="B82" s="165">
        <v>0</v>
      </c>
      <c r="C82" s="165">
        <v>9141691.5999999996</v>
      </c>
      <c r="D82" s="165">
        <v>9141691.5999999996</v>
      </c>
      <c r="E82" s="165">
        <v>9141690.4199999999</v>
      </c>
      <c r="F82" s="165">
        <v>8481690.4299999997</v>
      </c>
      <c r="G82" s="165">
        <f t="shared" si="1"/>
        <v>1.1799999997019768</v>
      </c>
    </row>
    <row r="83" spans="1:7" s="24" customFormat="1" x14ac:dyDescent="0.3">
      <c r="A83" s="164" t="s">
        <v>3350</v>
      </c>
      <c r="B83" s="165">
        <v>4365000</v>
      </c>
      <c r="C83" s="165">
        <v>0</v>
      </c>
      <c r="D83" s="165">
        <v>4365000</v>
      </c>
      <c r="E83" s="165">
        <v>4365000</v>
      </c>
      <c r="F83" s="165">
        <v>4365000</v>
      </c>
      <c r="G83" s="165">
        <f t="shared" si="1"/>
        <v>0</v>
      </c>
    </row>
    <row r="84" spans="1:7" s="24" customFormat="1" x14ac:dyDescent="0.3">
      <c r="A84" s="164" t="s">
        <v>3352</v>
      </c>
      <c r="B84" s="165">
        <v>2775104</v>
      </c>
      <c r="C84" s="165">
        <v>0</v>
      </c>
      <c r="D84" s="165">
        <v>2775104</v>
      </c>
      <c r="E84" s="165">
        <v>2775104</v>
      </c>
      <c r="F84" s="165">
        <v>2775104</v>
      </c>
      <c r="G84" s="165">
        <f t="shared" si="1"/>
        <v>0</v>
      </c>
    </row>
    <row r="85" spans="1:7" x14ac:dyDescent="0.3">
      <c r="A85" s="76" t="s">
        <v>678</v>
      </c>
      <c r="B85" s="54"/>
      <c r="C85" s="54"/>
      <c r="D85" s="54"/>
      <c r="E85" s="54"/>
      <c r="F85" s="54"/>
      <c r="G85" s="54"/>
    </row>
    <row r="86" spans="1:7" x14ac:dyDescent="0.3">
      <c r="A86" s="55" t="s">
        <v>360</v>
      </c>
      <c r="B86" s="61">
        <f>GASTO_NE_T1+GASTO_E_T1</f>
        <v>644098554.96000004</v>
      </c>
      <c r="C86" s="61">
        <f>GASTO_NE_T2+GASTO_E_T2</f>
        <v>263354422.88</v>
      </c>
      <c r="D86" s="61">
        <f>GASTO_NE_T3+GASTO_E_T3</f>
        <v>907452977.84000003</v>
      </c>
      <c r="E86" s="61">
        <f>GASTO_NE_T4+GASTO_E_T4</f>
        <v>806128299.5999999</v>
      </c>
      <c r="F86" s="61">
        <f>GASTO_NE_T5+GASTO_E_T5</f>
        <v>773900704.83000004</v>
      </c>
      <c r="G86" s="61">
        <f>GASTO_NE_T6+GASTO_E_T6</f>
        <v>101324678.23999998</v>
      </c>
    </row>
    <row r="87" spans="1:7" x14ac:dyDescent="0.3">
      <c r="A87" s="58"/>
      <c r="B87" s="65"/>
      <c r="C87" s="65"/>
      <c r="D87" s="65"/>
      <c r="E87" s="65"/>
      <c r="F87" s="65"/>
      <c r="G87" s="78"/>
    </row>
    <row r="88" spans="1:7" hidden="1" x14ac:dyDescent="0.3">
      <c r="A88" s="11"/>
    </row>
    <row r="89" spans="1:7" x14ac:dyDescent="0.3"/>
    <row r="90" spans="1:7" x14ac:dyDescent="0.3"/>
    <row r="91" spans="1:7" x14ac:dyDescent="0.3"/>
    <row r="92" spans="1:7" x14ac:dyDescent="0.3"/>
    <row r="93" spans="1:7" x14ac:dyDescent="0.3"/>
    <row r="94" spans="1:7" x14ac:dyDescent="0.3"/>
    <row r="95" spans="1:7" x14ac:dyDescent="0.3"/>
    <row r="96" spans="1:7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86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470896993.96000004</v>
      </c>
      <c r="Q2" s="18">
        <f>GASTO_NE_T2</f>
        <v>101488404.38999997</v>
      </c>
      <c r="R2" s="18">
        <f>GASTO_NE_T3</f>
        <v>572385398.35000002</v>
      </c>
      <c r="S2" s="18">
        <f>GASTO_NE_T4</f>
        <v>527397440.09999985</v>
      </c>
      <c r="T2" s="18">
        <f>GASTO_NE_T5</f>
        <v>515003920.17000002</v>
      </c>
      <c r="U2" s="18">
        <f>GASTO_NE_T6</f>
        <v>44987958.249999993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173201561</v>
      </c>
      <c r="Q3" s="18">
        <f>GASTO_E_T2</f>
        <v>161866018.49000001</v>
      </c>
      <c r="R3" s="18">
        <f>GASTO_E_T3</f>
        <v>335067579.49000001</v>
      </c>
      <c r="S3" s="18">
        <f>GASTO_E_T4</f>
        <v>278730859.5</v>
      </c>
      <c r="T3" s="18">
        <f>GASTO_E_T5</f>
        <v>258896784.66</v>
      </c>
      <c r="U3" s="18">
        <f>GASTO_E_T6</f>
        <v>56336719.989999995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644098554.96000004</v>
      </c>
      <c r="Q4" s="18">
        <f>TOTAL_E_T2</f>
        <v>263354422.88</v>
      </c>
      <c r="R4" s="18">
        <f>TOTAL_E_T3</f>
        <v>907452977.84000003</v>
      </c>
      <c r="S4" s="18">
        <f>TOTAL_E_T4</f>
        <v>806128299.5999999</v>
      </c>
      <c r="T4" s="18">
        <f>TOTAL_E_T5</f>
        <v>773900704.83000004</v>
      </c>
      <c r="U4" s="18">
        <f>TOTAL_E_T6</f>
        <v>101324678.23999998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7" zoomScale="90" zoomScaleNormal="90" workbookViewId="0">
      <selection activeCell="B25" sqref="B25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213" t="s">
        <v>3282</v>
      </c>
      <c r="B1" s="214"/>
      <c r="C1" s="214"/>
      <c r="D1" s="214"/>
      <c r="E1" s="214"/>
      <c r="F1" s="214"/>
      <c r="G1" s="214"/>
    </row>
    <row r="2" spans="1:7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89"/>
      <c r="G2" s="190"/>
    </row>
    <row r="3" spans="1:7" x14ac:dyDescent="0.3">
      <c r="A3" s="191" t="s">
        <v>396</v>
      </c>
      <c r="B3" s="192"/>
      <c r="C3" s="192"/>
      <c r="D3" s="192"/>
      <c r="E3" s="192"/>
      <c r="F3" s="192"/>
      <c r="G3" s="193"/>
    </row>
    <row r="4" spans="1:7" x14ac:dyDescent="0.3">
      <c r="A4" s="191" t="s">
        <v>397</v>
      </c>
      <c r="B4" s="192"/>
      <c r="C4" s="192"/>
      <c r="D4" s="192"/>
      <c r="E4" s="192"/>
      <c r="F4" s="192"/>
      <c r="G4" s="193"/>
    </row>
    <row r="5" spans="1:7" x14ac:dyDescent="0.3">
      <c r="A5" s="194" t="str">
        <f>TRIMESTRE</f>
        <v>Del 1 de enero al 31 de diciembre de 2021 (b)</v>
      </c>
      <c r="B5" s="195"/>
      <c r="C5" s="195"/>
      <c r="D5" s="195"/>
      <c r="E5" s="195"/>
      <c r="F5" s="195"/>
      <c r="G5" s="196"/>
    </row>
    <row r="6" spans="1:7" x14ac:dyDescent="0.3">
      <c r="A6" s="197" t="s">
        <v>118</v>
      </c>
      <c r="B6" s="198"/>
      <c r="C6" s="198"/>
      <c r="D6" s="198"/>
      <c r="E6" s="198"/>
      <c r="F6" s="198"/>
      <c r="G6" s="199"/>
    </row>
    <row r="7" spans="1:7" x14ac:dyDescent="0.3">
      <c r="A7" s="192" t="s">
        <v>0</v>
      </c>
      <c r="B7" s="197" t="s">
        <v>279</v>
      </c>
      <c r="C7" s="198"/>
      <c r="D7" s="198"/>
      <c r="E7" s="198"/>
      <c r="F7" s="199"/>
      <c r="G7" s="209" t="s">
        <v>3279</v>
      </c>
    </row>
    <row r="8" spans="1:7" ht="30.75" customHeight="1" x14ac:dyDescent="0.3">
      <c r="A8" s="192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208"/>
    </row>
    <row r="9" spans="1:7" x14ac:dyDescent="0.3">
      <c r="A9" s="52" t="s">
        <v>363</v>
      </c>
      <c r="B9" s="70">
        <f>SUM(B10,B19,B27,B37)</f>
        <v>470896993.95999998</v>
      </c>
      <c r="C9" s="70">
        <f t="shared" ref="C9:G9" si="0">SUM(C10,C19,C27,C37)</f>
        <v>101488404.38999999</v>
      </c>
      <c r="D9" s="70">
        <f t="shared" si="0"/>
        <v>572385398.3499999</v>
      </c>
      <c r="E9" s="70">
        <f t="shared" si="0"/>
        <v>527397440.10000002</v>
      </c>
      <c r="F9" s="70">
        <f t="shared" si="0"/>
        <v>515003920.16999996</v>
      </c>
      <c r="G9" s="70">
        <f t="shared" si="0"/>
        <v>44987958.249999978</v>
      </c>
    </row>
    <row r="10" spans="1:7" x14ac:dyDescent="0.3">
      <c r="A10" s="53" t="s">
        <v>364</v>
      </c>
      <c r="B10" s="71">
        <f>SUM(B11:B18)</f>
        <v>246794609.95999998</v>
      </c>
      <c r="C10" s="71">
        <f t="shared" ref="C10:F10" si="1">SUM(C11:C18)</f>
        <v>50085710.179999992</v>
      </c>
      <c r="D10" s="71">
        <f t="shared" si="1"/>
        <v>296880320.13999999</v>
      </c>
      <c r="E10" s="71">
        <f t="shared" si="1"/>
        <v>275127228.09000003</v>
      </c>
      <c r="F10" s="71">
        <f t="shared" si="1"/>
        <v>265017832.56999999</v>
      </c>
      <c r="G10" s="71">
        <f>SUM(G11:G18)</f>
        <v>21753092.049999967</v>
      </c>
    </row>
    <row r="11" spans="1:7" x14ac:dyDescent="0.3">
      <c r="A11" s="63" t="s">
        <v>365</v>
      </c>
      <c r="B11" s="160"/>
      <c r="C11" s="160"/>
      <c r="D11" s="160">
        <f>B11+C11</f>
        <v>0</v>
      </c>
      <c r="E11" s="160"/>
      <c r="F11" s="160"/>
      <c r="G11" s="72">
        <f>D11-E11</f>
        <v>0</v>
      </c>
    </row>
    <row r="12" spans="1:7" x14ac:dyDescent="0.3">
      <c r="A12" s="63" t="s">
        <v>366</v>
      </c>
      <c r="B12" s="161">
        <v>1844235</v>
      </c>
      <c r="C12" s="161">
        <v>-5900.93</v>
      </c>
      <c r="D12" s="160">
        <f t="shared" ref="D12:D18" si="2">B12+C12</f>
        <v>1838334.07</v>
      </c>
      <c r="E12" s="161">
        <v>1756606.75</v>
      </c>
      <c r="F12" s="161">
        <v>1752131.68</v>
      </c>
      <c r="G12" s="72">
        <f t="shared" ref="G12:G18" si="3">D12-E12</f>
        <v>81727.320000000065</v>
      </c>
    </row>
    <row r="13" spans="1:7" x14ac:dyDescent="0.3">
      <c r="A13" s="63" t="s">
        <v>367</v>
      </c>
      <c r="B13" s="161">
        <v>65872776</v>
      </c>
      <c r="C13" s="161">
        <v>-1834752.27</v>
      </c>
      <c r="D13" s="160">
        <f t="shared" si="2"/>
        <v>64038023.729999997</v>
      </c>
      <c r="E13" s="161">
        <v>58195382.810000002</v>
      </c>
      <c r="F13" s="161">
        <v>58088435.280000001</v>
      </c>
      <c r="G13" s="72">
        <f t="shared" si="3"/>
        <v>5842640.9199999943</v>
      </c>
    </row>
    <row r="14" spans="1:7" x14ac:dyDescent="0.3">
      <c r="A14" s="63" t="s">
        <v>368</v>
      </c>
      <c r="B14" s="160"/>
      <c r="C14" s="160"/>
      <c r="D14" s="160">
        <f t="shared" si="2"/>
        <v>0</v>
      </c>
      <c r="E14" s="160"/>
      <c r="F14" s="160"/>
      <c r="G14" s="72">
        <f t="shared" si="3"/>
        <v>0</v>
      </c>
    </row>
    <row r="15" spans="1:7" x14ac:dyDescent="0.3">
      <c r="A15" s="63" t="s">
        <v>369</v>
      </c>
      <c r="B15" s="161">
        <v>89801749.959999993</v>
      </c>
      <c r="C15" s="161">
        <v>39667327.869999997</v>
      </c>
      <c r="D15" s="160">
        <f t="shared" si="2"/>
        <v>129469077.82999998</v>
      </c>
      <c r="E15" s="161">
        <v>123310885.48</v>
      </c>
      <c r="F15" s="161">
        <v>114074125.41</v>
      </c>
      <c r="G15" s="72">
        <f t="shared" si="3"/>
        <v>6158192.3499999791</v>
      </c>
    </row>
    <row r="16" spans="1:7" x14ac:dyDescent="0.3">
      <c r="A16" s="63" t="s">
        <v>370</v>
      </c>
      <c r="B16" s="160"/>
      <c r="C16" s="160"/>
      <c r="D16" s="160">
        <f t="shared" si="2"/>
        <v>0</v>
      </c>
      <c r="E16" s="160"/>
      <c r="F16" s="160"/>
      <c r="G16" s="72">
        <f t="shared" si="3"/>
        <v>0</v>
      </c>
    </row>
    <row r="17" spans="1:7" x14ac:dyDescent="0.3">
      <c r="A17" s="63" t="s">
        <v>371</v>
      </c>
      <c r="B17" s="161">
        <v>72279144</v>
      </c>
      <c r="C17" s="161">
        <v>12412136.609999999</v>
      </c>
      <c r="D17" s="160">
        <f t="shared" si="2"/>
        <v>84691280.609999999</v>
      </c>
      <c r="E17" s="161">
        <v>76582239.200000003</v>
      </c>
      <c r="F17" s="161">
        <v>75848429.349999994</v>
      </c>
      <c r="G17" s="72">
        <f t="shared" si="3"/>
        <v>8109041.4099999964</v>
      </c>
    </row>
    <row r="18" spans="1:7" x14ac:dyDescent="0.3">
      <c r="A18" s="63" t="s">
        <v>372</v>
      </c>
      <c r="B18" s="161">
        <v>16996705</v>
      </c>
      <c r="C18" s="161">
        <v>-153101.1</v>
      </c>
      <c r="D18" s="160">
        <f t="shared" si="2"/>
        <v>16843603.899999999</v>
      </c>
      <c r="E18" s="161">
        <v>15282113.85</v>
      </c>
      <c r="F18" s="161">
        <v>15254710.85</v>
      </c>
      <c r="G18" s="72">
        <f t="shared" si="3"/>
        <v>1561490.0499999989</v>
      </c>
    </row>
    <row r="19" spans="1:7" x14ac:dyDescent="0.3">
      <c r="A19" s="53" t="s">
        <v>373</v>
      </c>
      <c r="B19" s="71">
        <f>SUM(B20:B26)</f>
        <v>135474180</v>
      </c>
      <c r="C19" s="71">
        <f t="shared" ref="C19:F19" si="4">SUM(C20:C26)</f>
        <v>41762478.270000003</v>
      </c>
      <c r="D19" s="71">
        <f t="shared" si="4"/>
        <v>177236658.27000001</v>
      </c>
      <c r="E19" s="71">
        <f t="shared" si="4"/>
        <v>157709137.31999999</v>
      </c>
      <c r="F19" s="71">
        <f t="shared" si="4"/>
        <v>156417976.09</v>
      </c>
      <c r="G19" s="71">
        <f>SUM(G20:G26)</f>
        <v>19527520.95000001</v>
      </c>
    </row>
    <row r="20" spans="1:7" x14ac:dyDescent="0.3">
      <c r="A20" s="63" t="s">
        <v>374</v>
      </c>
      <c r="B20" s="161">
        <v>9569504</v>
      </c>
      <c r="C20" s="161">
        <v>-362090.58</v>
      </c>
      <c r="D20" s="160">
        <f t="shared" ref="D20:D26" si="5">B20+C20</f>
        <v>9207413.4199999999</v>
      </c>
      <c r="E20" s="161">
        <v>8497289.8200000003</v>
      </c>
      <c r="F20" s="161">
        <v>8484839.8200000003</v>
      </c>
      <c r="G20" s="72">
        <f>D20-E20</f>
        <v>710123.59999999963</v>
      </c>
    </row>
    <row r="21" spans="1:7" x14ac:dyDescent="0.3">
      <c r="A21" s="63" t="s">
        <v>375</v>
      </c>
      <c r="B21" s="161">
        <v>103055716</v>
      </c>
      <c r="C21" s="161">
        <v>39407783.799999997</v>
      </c>
      <c r="D21" s="160">
        <f t="shared" si="5"/>
        <v>142463499.80000001</v>
      </c>
      <c r="E21" s="161">
        <v>128960173.14</v>
      </c>
      <c r="F21" s="161">
        <v>127727947.11</v>
      </c>
      <c r="G21" s="72">
        <f t="shared" ref="G21:G26" si="6">D21-E21</f>
        <v>13503326.660000011</v>
      </c>
    </row>
    <row r="22" spans="1:7" x14ac:dyDescent="0.3">
      <c r="A22" s="63" t="s">
        <v>376</v>
      </c>
      <c r="B22" s="161">
        <v>5623150</v>
      </c>
      <c r="C22" s="161">
        <v>-12110.69</v>
      </c>
      <c r="D22" s="160">
        <f t="shared" si="5"/>
        <v>5611039.3099999996</v>
      </c>
      <c r="E22" s="161">
        <v>4894461.59</v>
      </c>
      <c r="F22" s="161">
        <v>4877801.6500000004</v>
      </c>
      <c r="G22" s="72">
        <f t="shared" si="6"/>
        <v>716577.71999999974</v>
      </c>
    </row>
    <row r="23" spans="1:7" x14ac:dyDescent="0.3">
      <c r="A23" s="63" t="s">
        <v>377</v>
      </c>
      <c r="B23" s="161">
        <v>12626608</v>
      </c>
      <c r="C23" s="161">
        <v>2612840.1800000002</v>
      </c>
      <c r="D23" s="160">
        <f t="shared" si="5"/>
        <v>15239448.18</v>
      </c>
      <c r="E23" s="161">
        <v>11025706.35</v>
      </c>
      <c r="F23" s="161">
        <v>11013481.35</v>
      </c>
      <c r="G23" s="72">
        <f t="shared" si="6"/>
        <v>4213741.83</v>
      </c>
    </row>
    <row r="24" spans="1:7" x14ac:dyDescent="0.3">
      <c r="A24" s="63" t="s">
        <v>378</v>
      </c>
      <c r="B24" s="160"/>
      <c r="C24" s="160"/>
      <c r="D24" s="160">
        <f t="shared" si="5"/>
        <v>0</v>
      </c>
      <c r="E24" s="160"/>
      <c r="F24" s="160"/>
      <c r="G24" s="72">
        <f t="shared" si="6"/>
        <v>0</v>
      </c>
    </row>
    <row r="25" spans="1:7" x14ac:dyDescent="0.3">
      <c r="A25" s="63" t="s">
        <v>379</v>
      </c>
      <c r="B25" s="160"/>
      <c r="C25" s="160"/>
      <c r="D25" s="160">
        <f t="shared" si="5"/>
        <v>0</v>
      </c>
      <c r="E25" s="160"/>
      <c r="F25" s="160"/>
      <c r="G25" s="72">
        <f t="shared" si="6"/>
        <v>0</v>
      </c>
    </row>
    <row r="26" spans="1:7" x14ac:dyDescent="0.3">
      <c r="A26" s="63" t="s">
        <v>380</v>
      </c>
      <c r="B26" s="161">
        <v>4599202</v>
      </c>
      <c r="C26" s="161">
        <v>116055.56</v>
      </c>
      <c r="D26" s="160">
        <f t="shared" si="5"/>
        <v>4715257.5599999996</v>
      </c>
      <c r="E26" s="161">
        <v>4331506.42</v>
      </c>
      <c r="F26" s="161">
        <v>4313906.16</v>
      </c>
      <c r="G26" s="72">
        <f t="shared" si="6"/>
        <v>383751.13999999966</v>
      </c>
    </row>
    <row r="27" spans="1:7" x14ac:dyDescent="0.3">
      <c r="A27" s="53" t="s">
        <v>381</v>
      </c>
      <c r="B27" s="71">
        <f>SUM(B28:B36)</f>
        <v>56496905</v>
      </c>
      <c r="C27" s="71">
        <f t="shared" ref="C27:F27" si="7">SUM(C28:C36)</f>
        <v>8771087.8000000007</v>
      </c>
      <c r="D27" s="71">
        <f t="shared" si="7"/>
        <v>65267992.799999997</v>
      </c>
      <c r="E27" s="71">
        <f t="shared" si="7"/>
        <v>61560647.870000005</v>
      </c>
      <c r="F27" s="71">
        <f t="shared" si="7"/>
        <v>60567684.690000005</v>
      </c>
      <c r="G27" s="71">
        <f>SUM(G28:G36)</f>
        <v>3707344.93</v>
      </c>
    </row>
    <row r="28" spans="1:7" x14ac:dyDescent="0.3">
      <c r="A28" s="69" t="s">
        <v>382</v>
      </c>
      <c r="B28" s="161">
        <v>2825217</v>
      </c>
      <c r="C28" s="161">
        <v>-52975.94</v>
      </c>
      <c r="D28" s="160">
        <f t="shared" ref="D28:D36" si="8">B28+C28</f>
        <v>2772241.06</v>
      </c>
      <c r="E28" s="161">
        <v>2433681.39</v>
      </c>
      <c r="F28" s="161">
        <v>2392706.39</v>
      </c>
      <c r="G28" s="72">
        <f>D28-E28</f>
        <v>338559.66999999993</v>
      </c>
    </row>
    <row r="29" spans="1:7" x14ac:dyDescent="0.3">
      <c r="A29" s="63" t="s">
        <v>383</v>
      </c>
      <c r="B29" s="161">
        <v>3167802</v>
      </c>
      <c r="C29" s="161">
        <v>1052958.8500000001</v>
      </c>
      <c r="D29" s="160">
        <f t="shared" si="8"/>
        <v>4220760.8499999996</v>
      </c>
      <c r="E29" s="161">
        <v>4033752.84</v>
      </c>
      <c r="F29" s="161">
        <v>4032452.84</v>
      </c>
      <c r="G29" s="72">
        <f t="shared" ref="G29:G36" si="9">D29-E29</f>
        <v>187008.00999999978</v>
      </c>
    </row>
    <row r="30" spans="1:7" x14ac:dyDescent="0.3">
      <c r="A30" s="63" t="s">
        <v>384</v>
      </c>
      <c r="B30" s="161">
        <v>0</v>
      </c>
      <c r="C30" s="161">
        <v>700000</v>
      </c>
      <c r="D30" s="160">
        <f t="shared" si="8"/>
        <v>700000</v>
      </c>
      <c r="E30" s="161">
        <v>0</v>
      </c>
      <c r="F30" s="161">
        <v>0</v>
      </c>
      <c r="G30" s="72">
        <f t="shared" si="9"/>
        <v>700000</v>
      </c>
    </row>
    <row r="31" spans="1:7" x14ac:dyDescent="0.3">
      <c r="A31" s="63" t="s">
        <v>385</v>
      </c>
      <c r="B31" s="161">
        <v>38565347</v>
      </c>
      <c r="C31" s="161">
        <v>6170192.5099999998</v>
      </c>
      <c r="D31" s="160">
        <f t="shared" si="8"/>
        <v>44735539.509999998</v>
      </c>
      <c r="E31" s="161">
        <v>43000048.939999998</v>
      </c>
      <c r="F31" s="161">
        <v>42205680.170000002</v>
      </c>
      <c r="G31" s="72">
        <f t="shared" si="9"/>
        <v>1735490.5700000003</v>
      </c>
    </row>
    <row r="32" spans="1:7" x14ac:dyDescent="0.3">
      <c r="A32" s="63" t="s">
        <v>386</v>
      </c>
      <c r="B32" s="161">
        <v>1351548</v>
      </c>
      <c r="C32" s="161">
        <v>33386.400000000001</v>
      </c>
      <c r="D32" s="160">
        <f t="shared" si="8"/>
        <v>1384934.3999999999</v>
      </c>
      <c r="E32" s="161">
        <v>1324817.54</v>
      </c>
      <c r="F32" s="161">
        <v>1302423.1399999999</v>
      </c>
      <c r="G32" s="72">
        <f t="shared" si="9"/>
        <v>60116.85999999987</v>
      </c>
    </row>
    <row r="33" spans="1:7" x14ac:dyDescent="0.3">
      <c r="A33" s="63" t="s">
        <v>387</v>
      </c>
      <c r="B33" s="160"/>
      <c r="C33" s="160"/>
      <c r="D33" s="160">
        <f t="shared" si="8"/>
        <v>0</v>
      </c>
      <c r="E33" s="160"/>
      <c r="F33" s="160"/>
      <c r="G33" s="72">
        <f t="shared" si="9"/>
        <v>0</v>
      </c>
    </row>
    <row r="34" spans="1:7" x14ac:dyDescent="0.3">
      <c r="A34" s="63" t="s">
        <v>388</v>
      </c>
      <c r="B34" s="161">
        <v>10586991</v>
      </c>
      <c r="C34" s="161">
        <v>867525.98</v>
      </c>
      <c r="D34" s="160">
        <f t="shared" si="8"/>
        <v>11454516.98</v>
      </c>
      <c r="E34" s="161">
        <v>10768347.16</v>
      </c>
      <c r="F34" s="161">
        <v>10634422.15</v>
      </c>
      <c r="G34" s="72">
        <f t="shared" si="9"/>
        <v>686169.8200000003</v>
      </c>
    </row>
    <row r="35" spans="1:7" x14ac:dyDescent="0.3">
      <c r="A35" s="63" t="s">
        <v>389</v>
      </c>
      <c r="B35" s="160"/>
      <c r="C35" s="160"/>
      <c r="D35" s="160">
        <f t="shared" si="8"/>
        <v>0</v>
      </c>
      <c r="E35" s="160"/>
      <c r="F35" s="160"/>
      <c r="G35" s="72">
        <f t="shared" si="9"/>
        <v>0</v>
      </c>
    </row>
    <row r="36" spans="1:7" x14ac:dyDescent="0.3">
      <c r="A36" s="63" t="s">
        <v>390</v>
      </c>
      <c r="B36" s="160"/>
      <c r="C36" s="160"/>
      <c r="D36" s="160">
        <f t="shared" si="8"/>
        <v>0</v>
      </c>
      <c r="E36" s="160"/>
      <c r="F36" s="160"/>
      <c r="G36" s="72">
        <f t="shared" si="9"/>
        <v>0</v>
      </c>
    </row>
    <row r="37" spans="1:7" ht="28.8" x14ac:dyDescent="0.3">
      <c r="A37" s="64" t="s">
        <v>398</v>
      </c>
      <c r="B37" s="71">
        <f>SUM(B38:B41)</f>
        <v>32131299</v>
      </c>
      <c r="C37" s="71">
        <f t="shared" ref="C37:F37" si="10">SUM(C38:C41)</f>
        <v>869128.14</v>
      </c>
      <c r="D37" s="71">
        <f t="shared" si="10"/>
        <v>33000427.140000001</v>
      </c>
      <c r="E37" s="71">
        <f t="shared" si="10"/>
        <v>33000426.82</v>
      </c>
      <c r="F37" s="71">
        <f t="shared" si="10"/>
        <v>33000426.82</v>
      </c>
      <c r="G37" s="71">
        <f>SUM(G38:G41)</f>
        <v>0.32000000029802322</v>
      </c>
    </row>
    <row r="38" spans="1:7" x14ac:dyDescent="0.3">
      <c r="A38" s="69" t="s">
        <v>391</v>
      </c>
      <c r="B38" s="160"/>
      <c r="C38" s="160"/>
      <c r="D38" s="160">
        <f t="shared" ref="D38:D41" si="11">B38+C38</f>
        <v>0</v>
      </c>
      <c r="E38" s="160"/>
      <c r="F38" s="160"/>
      <c r="G38" s="72">
        <f>D38-E38</f>
        <v>0</v>
      </c>
    </row>
    <row r="39" spans="1:7" ht="28.8" x14ac:dyDescent="0.3">
      <c r="A39" s="69" t="s">
        <v>392</v>
      </c>
      <c r="B39" s="161">
        <v>32131299</v>
      </c>
      <c r="C39" s="161">
        <v>869128.14</v>
      </c>
      <c r="D39" s="160">
        <f t="shared" si="11"/>
        <v>33000427.140000001</v>
      </c>
      <c r="E39" s="161">
        <v>33000426.82</v>
      </c>
      <c r="F39" s="161">
        <v>33000426.82</v>
      </c>
      <c r="G39" s="72">
        <f t="shared" ref="G39:G41" si="12">D39-E39</f>
        <v>0.32000000029802322</v>
      </c>
    </row>
    <row r="40" spans="1:7" x14ac:dyDescent="0.3">
      <c r="A40" s="69" t="s">
        <v>393</v>
      </c>
      <c r="B40" s="160"/>
      <c r="C40" s="160"/>
      <c r="D40" s="160">
        <f t="shared" si="11"/>
        <v>0</v>
      </c>
      <c r="E40" s="160"/>
      <c r="F40" s="160"/>
      <c r="G40" s="72">
        <f t="shared" si="12"/>
        <v>0</v>
      </c>
    </row>
    <row r="41" spans="1:7" x14ac:dyDescent="0.3">
      <c r="A41" s="69" t="s">
        <v>394</v>
      </c>
      <c r="B41" s="160"/>
      <c r="C41" s="160"/>
      <c r="D41" s="160">
        <f t="shared" si="11"/>
        <v>0</v>
      </c>
      <c r="E41" s="160"/>
      <c r="F41" s="160"/>
      <c r="G41" s="72">
        <f t="shared" si="12"/>
        <v>0</v>
      </c>
    </row>
    <row r="42" spans="1:7" x14ac:dyDescent="0.3">
      <c r="A42" s="69"/>
      <c r="B42" s="72"/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173201561</v>
      </c>
      <c r="C43" s="73">
        <f t="shared" ref="C43:F43" si="13">SUM(C44,C53,C61,C71)</f>
        <v>161866018.49000001</v>
      </c>
      <c r="D43" s="73">
        <f t="shared" si="13"/>
        <v>335067579.49000001</v>
      </c>
      <c r="E43" s="73">
        <f t="shared" si="13"/>
        <v>278730859.5</v>
      </c>
      <c r="F43" s="73">
        <f t="shared" si="13"/>
        <v>258896784.66</v>
      </c>
      <c r="G43" s="73">
        <f>SUM(G44,G53,G61,G71)</f>
        <v>56336719.990000002</v>
      </c>
    </row>
    <row r="44" spans="1:7" x14ac:dyDescent="0.3">
      <c r="A44" s="53" t="s">
        <v>430</v>
      </c>
      <c r="B44" s="72">
        <f>SUM(B45:B52)</f>
        <v>104322046</v>
      </c>
      <c r="C44" s="72">
        <f t="shared" ref="C44:G44" si="14">SUM(C45:C52)</f>
        <v>-7409227.1799999997</v>
      </c>
      <c r="D44" s="72">
        <f t="shared" si="14"/>
        <v>96912818.819999993</v>
      </c>
      <c r="E44" s="72">
        <f t="shared" si="14"/>
        <v>96912818.819999993</v>
      </c>
      <c r="F44" s="72">
        <f t="shared" si="14"/>
        <v>95719007.739999995</v>
      </c>
      <c r="G44" s="72">
        <f t="shared" si="14"/>
        <v>0</v>
      </c>
    </row>
    <row r="45" spans="1:7" x14ac:dyDescent="0.3">
      <c r="A45" s="69" t="s">
        <v>365</v>
      </c>
      <c r="B45" s="160"/>
      <c r="C45" s="160"/>
      <c r="D45" s="160">
        <f t="shared" ref="D45:D52" si="15">B45+C45</f>
        <v>0</v>
      </c>
      <c r="E45" s="160"/>
      <c r="F45" s="160"/>
      <c r="G45" s="72">
        <f>D45-E45</f>
        <v>0</v>
      </c>
    </row>
    <row r="46" spans="1:7" x14ac:dyDescent="0.3">
      <c r="A46" s="69" t="s">
        <v>366</v>
      </c>
      <c r="B46" s="160"/>
      <c r="C46" s="160"/>
      <c r="D46" s="160">
        <f t="shared" si="15"/>
        <v>0</v>
      </c>
      <c r="E46" s="160"/>
      <c r="F46" s="160"/>
      <c r="G46" s="72">
        <f t="shared" ref="G46:G52" si="16">D46-E46</f>
        <v>0</v>
      </c>
    </row>
    <row r="47" spans="1:7" x14ac:dyDescent="0.3">
      <c r="A47" s="69" t="s">
        <v>367</v>
      </c>
      <c r="B47" s="160"/>
      <c r="C47" s="160"/>
      <c r="D47" s="160">
        <f t="shared" si="15"/>
        <v>0</v>
      </c>
      <c r="E47" s="160"/>
      <c r="F47" s="160"/>
      <c r="G47" s="72">
        <f t="shared" si="16"/>
        <v>0</v>
      </c>
    </row>
    <row r="48" spans="1:7" x14ac:dyDescent="0.3">
      <c r="A48" s="69" t="s">
        <v>368</v>
      </c>
      <c r="B48" s="160"/>
      <c r="C48" s="160"/>
      <c r="D48" s="160">
        <f t="shared" si="15"/>
        <v>0</v>
      </c>
      <c r="E48" s="160"/>
      <c r="F48" s="160"/>
      <c r="G48" s="72">
        <f t="shared" si="16"/>
        <v>0</v>
      </c>
    </row>
    <row r="49" spans="1:7" x14ac:dyDescent="0.3">
      <c r="A49" s="69" t="s">
        <v>369</v>
      </c>
      <c r="B49" s="160"/>
      <c r="C49" s="160"/>
      <c r="D49" s="160">
        <f t="shared" si="15"/>
        <v>0</v>
      </c>
      <c r="E49" s="160"/>
      <c r="F49" s="160"/>
      <c r="G49" s="72">
        <f t="shared" si="16"/>
        <v>0</v>
      </c>
    </row>
    <row r="50" spans="1:7" x14ac:dyDescent="0.3">
      <c r="A50" s="69" t="s">
        <v>370</v>
      </c>
      <c r="B50" s="160"/>
      <c r="C50" s="160"/>
      <c r="D50" s="160">
        <f t="shared" si="15"/>
        <v>0</v>
      </c>
      <c r="E50" s="160"/>
      <c r="F50" s="160"/>
      <c r="G50" s="72">
        <f t="shared" si="16"/>
        <v>0</v>
      </c>
    </row>
    <row r="51" spans="1:7" x14ac:dyDescent="0.3">
      <c r="A51" s="69" t="s">
        <v>371</v>
      </c>
      <c r="B51" s="161">
        <v>104322046</v>
      </c>
      <c r="C51" s="161">
        <v>-7409227.1799999997</v>
      </c>
      <c r="D51" s="160">
        <f t="shared" si="15"/>
        <v>96912818.819999993</v>
      </c>
      <c r="E51" s="161">
        <v>96912818.819999993</v>
      </c>
      <c r="F51" s="161">
        <v>95719007.739999995</v>
      </c>
      <c r="G51" s="72">
        <f t="shared" si="16"/>
        <v>0</v>
      </c>
    </row>
    <row r="52" spans="1:7" x14ac:dyDescent="0.3">
      <c r="A52" s="69" t="s">
        <v>372</v>
      </c>
      <c r="B52" s="160"/>
      <c r="C52" s="160"/>
      <c r="D52" s="160">
        <f t="shared" si="15"/>
        <v>0</v>
      </c>
      <c r="E52" s="160"/>
      <c r="F52" s="160"/>
      <c r="G52" s="72">
        <f t="shared" si="16"/>
        <v>0</v>
      </c>
    </row>
    <row r="53" spans="1:7" x14ac:dyDescent="0.3">
      <c r="A53" s="53" t="s">
        <v>373</v>
      </c>
      <c r="B53" s="71">
        <f>SUM(B54:B60)</f>
        <v>17131000</v>
      </c>
      <c r="C53" s="71">
        <f t="shared" ref="C53:G53" si="17">SUM(C54:C60)</f>
        <v>194893177.90000001</v>
      </c>
      <c r="D53" s="71">
        <f t="shared" si="17"/>
        <v>212024177.90000001</v>
      </c>
      <c r="E53" s="71">
        <f t="shared" si="17"/>
        <v>156227811.30000001</v>
      </c>
      <c r="F53" s="71">
        <f t="shared" si="17"/>
        <v>139496047.08000001</v>
      </c>
      <c r="G53" s="71">
        <f t="shared" si="17"/>
        <v>55796366.600000001</v>
      </c>
    </row>
    <row r="54" spans="1:7" x14ac:dyDescent="0.3">
      <c r="A54" s="69" t="s">
        <v>374</v>
      </c>
      <c r="B54" s="161">
        <v>0</v>
      </c>
      <c r="C54" s="161">
        <v>7387190.4400000004</v>
      </c>
      <c r="D54" s="160">
        <f t="shared" ref="D54:D60" si="18">B54+C54</f>
        <v>7387190.4400000004</v>
      </c>
      <c r="E54" s="161">
        <v>5842756.5700000003</v>
      </c>
      <c r="F54" s="161">
        <v>5842756.5700000003</v>
      </c>
      <c r="G54" s="72">
        <f>D54-E54</f>
        <v>1544433.87</v>
      </c>
    </row>
    <row r="55" spans="1:7" x14ac:dyDescent="0.3">
      <c r="A55" s="69" t="s">
        <v>375</v>
      </c>
      <c r="B55" s="161">
        <v>12766000</v>
      </c>
      <c r="C55" s="161">
        <v>178185306.11000001</v>
      </c>
      <c r="D55" s="160">
        <f t="shared" si="18"/>
        <v>190951306.11000001</v>
      </c>
      <c r="E55" s="161">
        <v>138042617.77000001</v>
      </c>
      <c r="F55" s="161">
        <v>121328503.55</v>
      </c>
      <c r="G55" s="72">
        <f t="shared" ref="G55:G60" si="19">D55-E55</f>
        <v>52908688.340000004</v>
      </c>
    </row>
    <row r="56" spans="1:7" x14ac:dyDescent="0.3">
      <c r="A56" s="69" t="s">
        <v>376</v>
      </c>
      <c r="B56" s="160"/>
      <c r="C56" s="160"/>
      <c r="D56" s="160">
        <f t="shared" si="18"/>
        <v>0</v>
      </c>
      <c r="E56" s="160"/>
      <c r="F56" s="160"/>
      <c r="G56" s="72">
        <f t="shared" si="19"/>
        <v>0</v>
      </c>
    </row>
    <row r="57" spans="1:7" x14ac:dyDescent="0.3">
      <c r="A57" s="48" t="s">
        <v>377</v>
      </c>
      <c r="B57" s="161">
        <v>4365000</v>
      </c>
      <c r="C57" s="161">
        <v>9320681.3499999996</v>
      </c>
      <c r="D57" s="160">
        <f t="shared" si="18"/>
        <v>13685681.35</v>
      </c>
      <c r="E57" s="161">
        <v>12342436.960000001</v>
      </c>
      <c r="F57" s="161">
        <v>12324786.960000001</v>
      </c>
      <c r="G57" s="72">
        <f t="shared" si="19"/>
        <v>1343244.3899999987</v>
      </c>
    </row>
    <row r="58" spans="1:7" x14ac:dyDescent="0.3">
      <c r="A58" s="69" t="s">
        <v>378</v>
      </c>
      <c r="B58" s="160"/>
      <c r="C58" s="160"/>
      <c r="D58" s="160">
        <f t="shared" si="18"/>
        <v>0</v>
      </c>
      <c r="E58" s="160"/>
      <c r="F58" s="160"/>
      <c r="G58" s="72">
        <f t="shared" si="19"/>
        <v>0</v>
      </c>
    </row>
    <row r="59" spans="1:7" x14ac:dyDescent="0.3">
      <c r="A59" s="69" t="s">
        <v>379</v>
      </c>
      <c r="B59" s="160"/>
      <c r="C59" s="160"/>
      <c r="D59" s="160">
        <f t="shared" si="18"/>
        <v>0</v>
      </c>
      <c r="E59" s="160"/>
      <c r="F59" s="160"/>
      <c r="G59" s="72">
        <f t="shared" si="19"/>
        <v>0</v>
      </c>
    </row>
    <row r="60" spans="1:7" x14ac:dyDescent="0.3">
      <c r="A60" s="69" t="s">
        <v>380</v>
      </c>
      <c r="B60" s="160"/>
      <c r="C60" s="160"/>
      <c r="D60" s="160">
        <f t="shared" si="18"/>
        <v>0</v>
      </c>
      <c r="E60" s="160"/>
      <c r="F60" s="160"/>
      <c r="G60" s="72">
        <f t="shared" si="19"/>
        <v>0</v>
      </c>
    </row>
    <row r="61" spans="1:7" x14ac:dyDescent="0.3">
      <c r="A61" s="53" t="s">
        <v>381</v>
      </c>
      <c r="B61" s="71">
        <f>SUM(B62:B70)</f>
        <v>44957895</v>
      </c>
      <c r="C61" s="71">
        <f t="shared" ref="C61:G61" si="20">SUM(C62:C70)</f>
        <v>-25336987.849999994</v>
      </c>
      <c r="D61" s="71">
        <f t="shared" si="20"/>
        <v>19620907.149999999</v>
      </c>
      <c r="E61" s="71">
        <f t="shared" si="20"/>
        <v>19080553.759999998</v>
      </c>
      <c r="F61" s="71">
        <f t="shared" si="20"/>
        <v>17172054.219999999</v>
      </c>
      <c r="G61" s="71">
        <f t="shared" si="20"/>
        <v>540353.39000000153</v>
      </c>
    </row>
    <row r="62" spans="1:7" x14ac:dyDescent="0.3">
      <c r="A62" s="69" t="s">
        <v>382</v>
      </c>
      <c r="B62" s="160"/>
      <c r="C62" s="160"/>
      <c r="D62" s="160">
        <f t="shared" ref="D62:D70" si="21">B62+C62</f>
        <v>0</v>
      </c>
      <c r="E62" s="160"/>
      <c r="F62" s="160"/>
      <c r="G62" s="72">
        <f>D62-E62</f>
        <v>0</v>
      </c>
    </row>
    <row r="63" spans="1:7" x14ac:dyDescent="0.3">
      <c r="A63" s="69" t="s">
        <v>383</v>
      </c>
      <c r="B63" s="161">
        <v>0</v>
      </c>
      <c r="C63" s="161">
        <v>1043270.8</v>
      </c>
      <c r="D63" s="160">
        <f t="shared" si="21"/>
        <v>1043270.8</v>
      </c>
      <c r="E63" s="161">
        <v>1043270.8</v>
      </c>
      <c r="F63" s="161">
        <v>1043270.8</v>
      </c>
      <c r="G63" s="72">
        <f t="shared" ref="G63:G70" si="22">D63-E63</f>
        <v>0</v>
      </c>
    </row>
    <row r="64" spans="1:7" x14ac:dyDescent="0.3">
      <c r="A64" s="69" t="s">
        <v>384</v>
      </c>
      <c r="B64" s="161">
        <v>0</v>
      </c>
      <c r="C64" s="161">
        <v>6085467.9000000004</v>
      </c>
      <c r="D64" s="160">
        <f t="shared" si="21"/>
        <v>6085467.9000000004</v>
      </c>
      <c r="E64" s="161">
        <v>6072537.54</v>
      </c>
      <c r="F64" s="161">
        <v>5705816.6600000001</v>
      </c>
      <c r="G64" s="72">
        <f t="shared" si="22"/>
        <v>12930.360000000335</v>
      </c>
    </row>
    <row r="65" spans="1:8" x14ac:dyDescent="0.3">
      <c r="A65" s="69" t="s">
        <v>385</v>
      </c>
      <c r="B65" s="161">
        <v>44957895</v>
      </c>
      <c r="C65" s="161">
        <v>-41607418.149999999</v>
      </c>
      <c r="D65" s="160">
        <f t="shared" si="21"/>
        <v>3350476.8500000015</v>
      </c>
      <c r="E65" s="161">
        <v>2823055</v>
      </c>
      <c r="F65" s="161">
        <v>1941276.33</v>
      </c>
      <c r="G65" s="72">
        <f t="shared" si="22"/>
        <v>527421.85000000149</v>
      </c>
    </row>
    <row r="66" spans="1:8" x14ac:dyDescent="0.3">
      <c r="A66" s="69" t="s">
        <v>386</v>
      </c>
      <c r="B66" s="160"/>
      <c r="C66" s="160"/>
      <c r="D66" s="160">
        <f t="shared" si="21"/>
        <v>0</v>
      </c>
      <c r="E66" s="160"/>
      <c r="F66" s="160"/>
      <c r="G66" s="72">
        <f t="shared" si="22"/>
        <v>0</v>
      </c>
    </row>
    <row r="67" spans="1:8" x14ac:dyDescent="0.3">
      <c r="A67" s="69" t="s">
        <v>387</v>
      </c>
      <c r="B67" s="160"/>
      <c r="C67" s="160"/>
      <c r="D67" s="160">
        <f t="shared" si="21"/>
        <v>0</v>
      </c>
      <c r="E67" s="160"/>
      <c r="F67" s="160"/>
      <c r="G67" s="72">
        <f t="shared" si="22"/>
        <v>0</v>
      </c>
    </row>
    <row r="68" spans="1:8" x14ac:dyDescent="0.3">
      <c r="A68" s="69" t="s">
        <v>388</v>
      </c>
      <c r="B68" s="161">
        <v>0</v>
      </c>
      <c r="C68" s="161">
        <v>9141691.5999999996</v>
      </c>
      <c r="D68" s="160">
        <f t="shared" si="21"/>
        <v>9141691.5999999996</v>
      </c>
      <c r="E68" s="161">
        <v>9141690.4199999999</v>
      </c>
      <c r="F68" s="161">
        <v>8481690.4299999997</v>
      </c>
      <c r="G68" s="72">
        <f t="shared" si="22"/>
        <v>1.1799999997019768</v>
      </c>
    </row>
    <row r="69" spans="1:8" x14ac:dyDescent="0.3">
      <c r="A69" s="69" t="s">
        <v>389</v>
      </c>
      <c r="B69" s="160"/>
      <c r="C69" s="160"/>
      <c r="D69" s="160">
        <f t="shared" si="21"/>
        <v>0</v>
      </c>
      <c r="E69" s="160"/>
      <c r="F69" s="160"/>
      <c r="G69" s="72">
        <f t="shared" si="22"/>
        <v>0</v>
      </c>
    </row>
    <row r="70" spans="1:8" x14ac:dyDescent="0.3">
      <c r="A70" s="69" t="s">
        <v>390</v>
      </c>
      <c r="B70" s="160"/>
      <c r="C70" s="160"/>
      <c r="D70" s="160">
        <f t="shared" si="21"/>
        <v>0</v>
      </c>
      <c r="E70" s="160"/>
      <c r="F70" s="160"/>
      <c r="G70" s="72">
        <f t="shared" si="22"/>
        <v>0</v>
      </c>
    </row>
    <row r="71" spans="1:8" x14ac:dyDescent="0.3">
      <c r="A71" s="64" t="s">
        <v>3292</v>
      </c>
      <c r="B71" s="74">
        <f>SUM(B72:B75)</f>
        <v>6790620</v>
      </c>
      <c r="C71" s="74">
        <f t="shared" ref="C71:F71" si="23">SUM(C72:C75)</f>
        <v>-280944.38</v>
      </c>
      <c r="D71" s="74">
        <f t="shared" si="23"/>
        <v>6509675.6200000001</v>
      </c>
      <c r="E71" s="74">
        <f t="shared" si="23"/>
        <v>6509675.6200000001</v>
      </c>
      <c r="F71" s="74">
        <f t="shared" si="23"/>
        <v>6509675.6200000001</v>
      </c>
      <c r="G71" s="74">
        <f>SUM(G72:G75)</f>
        <v>0</v>
      </c>
    </row>
    <row r="72" spans="1:8" x14ac:dyDescent="0.3">
      <c r="A72" s="69" t="s">
        <v>391</v>
      </c>
      <c r="B72" s="161">
        <v>4015516</v>
      </c>
      <c r="C72" s="161">
        <v>-280944.38</v>
      </c>
      <c r="D72" s="160">
        <f t="shared" ref="D72:D75" si="24">B72+C72</f>
        <v>3734571.62</v>
      </c>
      <c r="E72" s="161">
        <v>3734571.62</v>
      </c>
      <c r="F72" s="161">
        <v>3734571.62</v>
      </c>
      <c r="G72" s="72">
        <f>D72-E72</f>
        <v>0</v>
      </c>
    </row>
    <row r="73" spans="1:8" ht="28.8" x14ac:dyDescent="0.3">
      <c r="A73" s="69" t="s">
        <v>392</v>
      </c>
      <c r="B73" s="161">
        <v>2775104</v>
      </c>
      <c r="C73" s="161">
        <v>0</v>
      </c>
      <c r="D73" s="160">
        <f t="shared" si="24"/>
        <v>2775104</v>
      </c>
      <c r="E73" s="161">
        <v>2775104</v>
      </c>
      <c r="F73" s="161">
        <v>2775104</v>
      </c>
      <c r="G73" s="72">
        <f t="shared" ref="G73:G75" si="25">D73-E73</f>
        <v>0</v>
      </c>
    </row>
    <row r="74" spans="1:8" x14ac:dyDescent="0.3">
      <c r="A74" s="69" t="s">
        <v>393</v>
      </c>
      <c r="B74" s="160"/>
      <c r="C74" s="160"/>
      <c r="D74" s="160">
        <f t="shared" si="24"/>
        <v>0</v>
      </c>
      <c r="E74" s="160"/>
      <c r="F74" s="160"/>
      <c r="G74" s="72">
        <f t="shared" si="25"/>
        <v>0</v>
      </c>
    </row>
    <row r="75" spans="1:8" x14ac:dyDescent="0.3">
      <c r="A75" s="69" t="s">
        <v>394</v>
      </c>
      <c r="B75" s="160"/>
      <c r="C75" s="160"/>
      <c r="D75" s="160">
        <f t="shared" si="24"/>
        <v>0</v>
      </c>
      <c r="E75" s="160"/>
      <c r="F75" s="160"/>
      <c r="G75" s="72">
        <f t="shared" si="25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644098554.96000004</v>
      </c>
      <c r="C77" s="73">
        <f t="shared" ref="C77:F77" si="26">C43+C9</f>
        <v>263354422.88</v>
      </c>
      <c r="D77" s="73">
        <f t="shared" si="26"/>
        <v>907452977.83999991</v>
      </c>
      <c r="E77" s="73">
        <f t="shared" si="26"/>
        <v>806128299.60000002</v>
      </c>
      <c r="F77" s="73">
        <f t="shared" si="26"/>
        <v>773900704.82999992</v>
      </c>
      <c r="G77" s="73">
        <f>G43+G9</f>
        <v>101324678.23999998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470896993.95999998</v>
      </c>
      <c r="Q2" s="18">
        <f>'Formato 6 c)'!C9</f>
        <v>101488404.38999999</v>
      </c>
      <c r="R2" s="18">
        <f>'Formato 6 c)'!D9</f>
        <v>572385398.3499999</v>
      </c>
      <c r="S2" s="18">
        <f>'Formato 6 c)'!E9</f>
        <v>527397440.10000002</v>
      </c>
      <c r="T2" s="18">
        <f>'Formato 6 c)'!F9</f>
        <v>515003920.16999996</v>
      </c>
      <c r="U2" s="18">
        <f>'Formato 6 c)'!G9</f>
        <v>44987958.249999978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246794609.95999998</v>
      </c>
      <c r="Q3" s="18">
        <f>'Formato 6 c)'!C10</f>
        <v>50085710.179999992</v>
      </c>
      <c r="R3" s="18">
        <f>'Formato 6 c)'!D10</f>
        <v>296880320.13999999</v>
      </c>
      <c r="S3" s="18">
        <f>'Formato 6 c)'!E10</f>
        <v>275127228.09000003</v>
      </c>
      <c r="T3" s="18">
        <f>'Formato 6 c)'!F10</f>
        <v>265017832.56999999</v>
      </c>
      <c r="U3" s="18">
        <f>'Formato 6 c)'!G10</f>
        <v>21753092.049999967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1844235</v>
      </c>
      <c r="Q5" s="18">
        <f>'Formato 6 c)'!C12</f>
        <v>-5900.93</v>
      </c>
      <c r="R5" s="18">
        <f>'Formato 6 c)'!D12</f>
        <v>1838334.07</v>
      </c>
      <c r="S5" s="18">
        <f>'Formato 6 c)'!E12</f>
        <v>1756606.75</v>
      </c>
      <c r="T5" s="18">
        <f>'Formato 6 c)'!F12</f>
        <v>1752131.68</v>
      </c>
      <c r="U5" s="18">
        <f>'Formato 6 c)'!G12</f>
        <v>81727.320000000065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65872776</v>
      </c>
      <c r="Q6" s="18">
        <f>'Formato 6 c)'!C13</f>
        <v>-1834752.27</v>
      </c>
      <c r="R6" s="18">
        <f>'Formato 6 c)'!D13</f>
        <v>64038023.729999997</v>
      </c>
      <c r="S6" s="18">
        <f>'Formato 6 c)'!E13</f>
        <v>58195382.810000002</v>
      </c>
      <c r="T6" s="18">
        <f>'Formato 6 c)'!F13</f>
        <v>58088435.280000001</v>
      </c>
      <c r="U6" s="18">
        <f>'Formato 6 c)'!G13</f>
        <v>5842640.9199999943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89801749.959999993</v>
      </c>
      <c r="Q8" s="18">
        <f>'Formato 6 c)'!C15</f>
        <v>39667327.869999997</v>
      </c>
      <c r="R8" s="18">
        <f>'Formato 6 c)'!D15</f>
        <v>129469077.82999998</v>
      </c>
      <c r="S8" s="18">
        <f>'Formato 6 c)'!E15</f>
        <v>123310885.48</v>
      </c>
      <c r="T8" s="18">
        <f>'Formato 6 c)'!F15</f>
        <v>114074125.41</v>
      </c>
      <c r="U8" s="18">
        <f>'Formato 6 c)'!G15</f>
        <v>6158192.3499999791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72279144</v>
      </c>
      <c r="Q10" s="18">
        <f>'Formato 6 c)'!C17</f>
        <v>12412136.609999999</v>
      </c>
      <c r="R10" s="18">
        <f>'Formato 6 c)'!D17</f>
        <v>84691280.609999999</v>
      </c>
      <c r="S10" s="18">
        <f>'Formato 6 c)'!E17</f>
        <v>76582239.200000003</v>
      </c>
      <c r="T10" s="18">
        <f>'Formato 6 c)'!F17</f>
        <v>75848429.349999994</v>
      </c>
      <c r="U10" s="18">
        <f>'Formato 6 c)'!G17</f>
        <v>8109041.4099999964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16996705</v>
      </c>
      <c r="Q11" s="18">
        <f>'Formato 6 c)'!C18</f>
        <v>-153101.1</v>
      </c>
      <c r="R11" s="18">
        <f>'Formato 6 c)'!D18</f>
        <v>16843603.899999999</v>
      </c>
      <c r="S11" s="18">
        <f>'Formato 6 c)'!E18</f>
        <v>15282113.85</v>
      </c>
      <c r="T11" s="18">
        <f>'Formato 6 c)'!F18</f>
        <v>15254710.85</v>
      </c>
      <c r="U11" s="18">
        <f>'Formato 6 c)'!G18</f>
        <v>1561490.0499999989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135474180</v>
      </c>
      <c r="Q12" s="18">
        <f>'Formato 6 c)'!C19</f>
        <v>41762478.270000003</v>
      </c>
      <c r="R12" s="18">
        <f>'Formato 6 c)'!D19</f>
        <v>177236658.27000001</v>
      </c>
      <c r="S12" s="18">
        <f>'Formato 6 c)'!E19</f>
        <v>157709137.31999999</v>
      </c>
      <c r="T12" s="18">
        <f>'Formato 6 c)'!F19</f>
        <v>156417976.09</v>
      </c>
      <c r="U12" s="18">
        <f>'Formato 6 c)'!G19</f>
        <v>19527520.95000001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9569504</v>
      </c>
      <c r="Q13" s="18">
        <f>'Formato 6 c)'!C20</f>
        <v>-362090.58</v>
      </c>
      <c r="R13" s="18">
        <f>'Formato 6 c)'!D20</f>
        <v>9207413.4199999999</v>
      </c>
      <c r="S13" s="18">
        <f>'Formato 6 c)'!E20</f>
        <v>8497289.8200000003</v>
      </c>
      <c r="T13" s="18">
        <f>'Formato 6 c)'!F20</f>
        <v>8484839.8200000003</v>
      </c>
      <c r="U13" s="18">
        <f>'Formato 6 c)'!G20</f>
        <v>710123.59999999963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103055716</v>
      </c>
      <c r="Q14" s="18">
        <f>'Formato 6 c)'!C21</f>
        <v>39407783.799999997</v>
      </c>
      <c r="R14" s="18">
        <f>'Formato 6 c)'!D21</f>
        <v>142463499.80000001</v>
      </c>
      <c r="S14" s="18">
        <f>'Formato 6 c)'!E21</f>
        <v>128960173.14</v>
      </c>
      <c r="T14" s="18">
        <f>'Formato 6 c)'!F21</f>
        <v>127727947.11</v>
      </c>
      <c r="U14" s="18">
        <f>'Formato 6 c)'!G21</f>
        <v>13503326.660000011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5623150</v>
      </c>
      <c r="Q15" s="18">
        <f>'Formato 6 c)'!C22</f>
        <v>-12110.69</v>
      </c>
      <c r="R15" s="18">
        <f>'Formato 6 c)'!D22</f>
        <v>5611039.3099999996</v>
      </c>
      <c r="S15" s="18">
        <f>'Formato 6 c)'!E22</f>
        <v>4894461.59</v>
      </c>
      <c r="T15" s="18">
        <f>'Formato 6 c)'!F22</f>
        <v>4877801.6500000004</v>
      </c>
      <c r="U15" s="18">
        <f>'Formato 6 c)'!G22</f>
        <v>716577.71999999974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12626608</v>
      </c>
      <c r="Q16" s="18">
        <f>'Formato 6 c)'!C23</f>
        <v>2612840.1800000002</v>
      </c>
      <c r="R16" s="18">
        <f>'Formato 6 c)'!D23</f>
        <v>15239448.18</v>
      </c>
      <c r="S16" s="18">
        <f>'Formato 6 c)'!E23</f>
        <v>11025706.35</v>
      </c>
      <c r="T16" s="18">
        <f>'Formato 6 c)'!F23</f>
        <v>11013481.35</v>
      </c>
      <c r="U16" s="18">
        <f>'Formato 6 c)'!G23</f>
        <v>4213741.83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4599202</v>
      </c>
      <c r="Q19" s="18">
        <f>'Formato 6 c)'!C26</f>
        <v>116055.56</v>
      </c>
      <c r="R19" s="18">
        <f>'Formato 6 c)'!D26</f>
        <v>4715257.5599999996</v>
      </c>
      <c r="S19" s="18">
        <f>'Formato 6 c)'!E26</f>
        <v>4331506.42</v>
      </c>
      <c r="T19" s="18">
        <f>'Formato 6 c)'!F26</f>
        <v>4313906.16</v>
      </c>
      <c r="U19" s="18">
        <f>'Formato 6 c)'!G26</f>
        <v>383751.13999999966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56496905</v>
      </c>
      <c r="Q20" s="18">
        <f>'Formato 6 c)'!C27</f>
        <v>8771087.8000000007</v>
      </c>
      <c r="R20" s="18">
        <f>'Formato 6 c)'!D27</f>
        <v>65267992.799999997</v>
      </c>
      <c r="S20" s="18">
        <f>'Formato 6 c)'!E27</f>
        <v>61560647.870000005</v>
      </c>
      <c r="T20" s="18">
        <f>'Formato 6 c)'!F27</f>
        <v>60567684.690000005</v>
      </c>
      <c r="U20" s="18">
        <f>'Formato 6 c)'!G27</f>
        <v>3707344.93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2825217</v>
      </c>
      <c r="Q21" s="18">
        <f>'Formato 6 c)'!C28</f>
        <v>-52975.94</v>
      </c>
      <c r="R21" s="18">
        <f>'Formato 6 c)'!D28</f>
        <v>2772241.06</v>
      </c>
      <c r="S21" s="18">
        <f>'Formato 6 c)'!E28</f>
        <v>2433681.39</v>
      </c>
      <c r="T21" s="18">
        <f>'Formato 6 c)'!F28</f>
        <v>2392706.39</v>
      </c>
      <c r="U21" s="18">
        <f>'Formato 6 c)'!G28</f>
        <v>338559.66999999993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3167802</v>
      </c>
      <c r="Q22" s="18">
        <f>'Formato 6 c)'!C29</f>
        <v>1052958.8500000001</v>
      </c>
      <c r="R22" s="18">
        <f>'Formato 6 c)'!D29</f>
        <v>4220760.8499999996</v>
      </c>
      <c r="S22" s="18">
        <f>'Formato 6 c)'!E29</f>
        <v>4033752.84</v>
      </c>
      <c r="T22" s="18">
        <f>'Formato 6 c)'!F29</f>
        <v>4032452.84</v>
      </c>
      <c r="U22" s="18">
        <f>'Formato 6 c)'!G29</f>
        <v>187008.00999999978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700000</v>
      </c>
      <c r="R23" s="18">
        <f>'Formato 6 c)'!D30</f>
        <v>700000</v>
      </c>
      <c r="S23" s="18">
        <f>'Formato 6 c)'!E30</f>
        <v>0</v>
      </c>
      <c r="T23" s="18">
        <f>'Formato 6 c)'!F30</f>
        <v>0</v>
      </c>
      <c r="U23" s="18">
        <f>'Formato 6 c)'!G30</f>
        <v>700000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38565347</v>
      </c>
      <c r="Q24" s="18">
        <f>'Formato 6 c)'!C31</f>
        <v>6170192.5099999998</v>
      </c>
      <c r="R24" s="18">
        <f>'Formato 6 c)'!D31</f>
        <v>44735539.509999998</v>
      </c>
      <c r="S24" s="18">
        <f>'Formato 6 c)'!E31</f>
        <v>43000048.939999998</v>
      </c>
      <c r="T24" s="18">
        <f>'Formato 6 c)'!F31</f>
        <v>42205680.170000002</v>
      </c>
      <c r="U24" s="18">
        <f>'Formato 6 c)'!G31</f>
        <v>1735490.5700000003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1351548</v>
      </c>
      <c r="Q25" s="18">
        <f>'Formato 6 c)'!C32</f>
        <v>33386.400000000001</v>
      </c>
      <c r="R25" s="18">
        <f>'Formato 6 c)'!D32</f>
        <v>1384934.3999999999</v>
      </c>
      <c r="S25" s="18">
        <f>'Formato 6 c)'!E32</f>
        <v>1324817.54</v>
      </c>
      <c r="T25" s="18">
        <f>'Formato 6 c)'!F32</f>
        <v>1302423.1399999999</v>
      </c>
      <c r="U25" s="18">
        <f>'Formato 6 c)'!G32</f>
        <v>60116.85999999987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10586991</v>
      </c>
      <c r="Q27" s="18">
        <f>'Formato 6 c)'!C34</f>
        <v>867525.98</v>
      </c>
      <c r="R27" s="18">
        <f>'Formato 6 c)'!D34</f>
        <v>11454516.98</v>
      </c>
      <c r="S27" s="18">
        <f>'Formato 6 c)'!E34</f>
        <v>10768347.16</v>
      </c>
      <c r="T27" s="18">
        <f>'Formato 6 c)'!F34</f>
        <v>10634422.15</v>
      </c>
      <c r="U27" s="18">
        <f>'Formato 6 c)'!G34</f>
        <v>686169.8200000003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32131299</v>
      </c>
      <c r="Q30" s="18">
        <f>'Formato 6 c)'!C37</f>
        <v>869128.14</v>
      </c>
      <c r="R30" s="18">
        <f>'Formato 6 c)'!D37</f>
        <v>33000427.140000001</v>
      </c>
      <c r="S30" s="18">
        <f>'Formato 6 c)'!E37</f>
        <v>33000426.82</v>
      </c>
      <c r="T30" s="18">
        <f>'Formato 6 c)'!F37</f>
        <v>33000426.82</v>
      </c>
      <c r="U30" s="18">
        <f>'Formato 6 c)'!G37</f>
        <v>0.32000000029802322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32131299</v>
      </c>
      <c r="Q32" s="18">
        <f>'Formato 6 c)'!C39</f>
        <v>869128.14</v>
      </c>
      <c r="R32" s="18">
        <f>'Formato 6 c)'!D39</f>
        <v>33000427.140000001</v>
      </c>
      <c r="S32" s="18">
        <f>'Formato 6 c)'!E39</f>
        <v>33000426.82</v>
      </c>
      <c r="T32" s="18">
        <f>'Formato 6 c)'!F39</f>
        <v>33000426.82</v>
      </c>
      <c r="U32" s="18">
        <f>'Formato 6 c)'!G39</f>
        <v>0.32000000029802322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173201561</v>
      </c>
      <c r="Q35" s="18">
        <f>'Formato 6 c)'!C43</f>
        <v>161866018.49000001</v>
      </c>
      <c r="R35" s="18">
        <f>'Formato 6 c)'!D43</f>
        <v>335067579.49000001</v>
      </c>
      <c r="S35" s="18">
        <f>'Formato 6 c)'!E43</f>
        <v>278730859.5</v>
      </c>
      <c r="T35" s="18">
        <f>'Formato 6 c)'!F43</f>
        <v>258896784.66</v>
      </c>
      <c r="U35" s="18">
        <f>'Formato 6 c)'!G43</f>
        <v>56336719.990000002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104322046</v>
      </c>
      <c r="Q36" s="18">
        <f>'Formato 6 c)'!C44</f>
        <v>-7409227.1799999997</v>
      </c>
      <c r="R36" s="18">
        <f>'Formato 6 c)'!D44</f>
        <v>96912818.819999993</v>
      </c>
      <c r="S36" s="18">
        <f>'Formato 6 c)'!E44</f>
        <v>96912818.819999993</v>
      </c>
      <c r="T36" s="18">
        <f>'Formato 6 c)'!F44</f>
        <v>95719007.739999995</v>
      </c>
      <c r="U36" s="18">
        <f>'Formato 6 c)'!G44</f>
        <v>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104322046</v>
      </c>
      <c r="Q43" s="18">
        <f>'Formato 6 c)'!C51</f>
        <v>-7409227.1799999997</v>
      </c>
      <c r="R43" s="18">
        <f>'Formato 6 c)'!D51</f>
        <v>96912818.819999993</v>
      </c>
      <c r="S43" s="18">
        <f>'Formato 6 c)'!E51</f>
        <v>96912818.819999993</v>
      </c>
      <c r="T43" s="18">
        <f>'Formato 6 c)'!F51</f>
        <v>95719007.739999995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17131000</v>
      </c>
      <c r="Q45" s="18">
        <f>'Formato 6 c)'!C53</f>
        <v>194893177.90000001</v>
      </c>
      <c r="R45" s="18">
        <f>'Formato 6 c)'!D53</f>
        <v>212024177.90000001</v>
      </c>
      <c r="S45" s="18">
        <f>'Formato 6 c)'!E53</f>
        <v>156227811.30000001</v>
      </c>
      <c r="T45" s="18">
        <f>'Formato 6 c)'!F53</f>
        <v>139496047.08000001</v>
      </c>
      <c r="U45" s="18">
        <f>'Formato 6 c)'!G53</f>
        <v>55796366.600000001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7387190.4400000004</v>
      </c>
      <c r="R46" s="18">
        <f>'Formato 6 c)'!D54</f>
        <v>7387190.4400000004</v>
      </c>
      <c r="S46" s="18">
        <f>'Formato 6 c)'!E54</f>
        <v>5842756.5700000003</v>
      </c>
      <c r="T46" s="18">
        <f>'Formato 6 c)'!F54</f>
        <v>5842756.5700000003</v>
      </c>
      <c r="U46" s="18">
        <f>'Formato 6 c)'!G54</f>
        <v>1544433.87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12766000</v>
      </c>
      <c r="Q47" s="18">
        <f>'Formato 6 c)'!C55</f>
        <v>178185306.11000001</v>
      </c>
      <c r="R47" s="18">
        <f>'Formato 6 c)'!D55</f>
        <v>190951306.11000001</v>
      </c>
      <c r="S47" s="18">
        <f>'Formato 6 c)'!E55</f>
        <v>138042617.77000001</v>
      </c>
      <c r="T47" s="18">
        <f>'Formato 6 c)'!F55</f>
        <v>121328503.55</v>
      </c>
      <c r="U47" s="18">
        <f>'Formato 6 c)'!G55</f>
        <v>52908688.340000004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4365000</v>
      </c>
      <c r="Q49" s="18">
        <f>'Formato 6 c)'!C57</f>
        <v>9320681.3499999996</v>
      </c>
      <c r="R49" s="18">
        <f>'Formato 6 c)'!D57</f>
        <v>13685681.35</v>
      </c>
      <c r="S49" s="18">
        <f>'Formato 6 c)'!E57</f>
        <v>12342436.960000001</v>
      </c>
      <c r="T49" s="18">
        <f>'Formato 6 c)'!F57</f>
        <v>12324786.960000001</v>
      </c>
      <c r="U49" s="18">
        <f>'Formato 6 c)'!G57</f>
        <v>1343244.3899999987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44957895</v>
      </c>
      <c r="Q53" s="18">
        <f>'Formato 6 c)'!C61</f>
        <v>-25336987.849999994</v>
      </c>
      <c r="R53" s="18">
        <f>'Formato 6 c)'!D61</f>
        <v>19620907.149999999</v>
      </c>
      <c r="S53" s="18">
        <f>'Formato 6 c)'!E61</f>
        <v>19080553.759999998</v>
      </c>
      <c r="T53" s="18">
        <f>'Formato 6 c)'!F61</f>
        <v>17172054.219999999</v>
      </c>
      <c r="U53" s="18">
        <f>'Formato 6 c)'!G61</f>
        <v>540353.39000000153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1043270.8</v>
      </c>
      <c r="R55" s="18">
        <f>'Formato 6 c)'!D63</f>
        <v>1043270.8</v>
      </c>
      <c r="S55" s="18">
        <f>'Formato 6 c)'!E63</f>
        <v>1043270.8</v>
      </c>
      <c r="T55" s="18">
        <f>'Formato 6 c)'!F63</f>
        <v>1043270.8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6085467.9000000004</v>
      </c>
      <c r="R56" s="18">
        <f>'Formato 6 c)'!D64</f>
        <v>6085467.9000000004</v>
      </c>
      <c r="S56" s="18">
        <f>'Formato 6 c)'!E64</f>
        <v>6072537.54</v>
      </c>
      <c r="T56" s="18">
        <f>'Formato 6 c)'!F64</f>
        <v>5705816.6600000001</v>
      </c>
      <c r="U56" s="18">
        <f>'Formato 6 c)'!G64</f>
        <v>12930.360000000335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44957895</v>
      </c>
      <c r="Q57" s="18">
        <f>'Formato 6 c)'!C65</f>
        <v>-41607418.149999999</v>
      </c>
      <c r="R57" s="18">
        <f>'Formato 6 c)'!D65</f>
        <v>3350476.8500000015</v>
      </c>
      <c r="S57" s="18">
        <f>'Formato 6 c)'!E65</f>
        <v>2823055</v>
      </c>
      <c r="T57" s="18">
        <f>'Formato 6 c)'!F65</f>
        <v>1941276.33</v>
      </c>
      <c r="U57" s="18">
        <f>'Formato 6 c)'!G65</f>
        <v>527421.85000000149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9141691.5999999996</v>
      </c>
      <c r="R60" s="18">
        <f>'Formato 6 c)'!D68</f>
        <v>9141691.5999999996</v>
      </c>
      <c r="S60" s="18">
        <f>'Formato 6 c)'!E68</f>
        <v>9141690.4199999999</v>
      </c>
      <c r="T60" s="18">
        <f>'Formato 6 c)'!F68</f>
        <v>8481690.4299999997</v>
      </c>
      <c r="U60" s="18">
        <f>'Formato 6 c)'!G68</f>
        <v>1.1799999997019768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6790620</v>
      </c>
      <c r="Q63" s="18">
        <f>'Formato 6 c)'!C71</f>
        <v>-280944.38</v>
      </c>
      <c r="R63" s="18">
        <f>'Formato 6 c)'!D71</f>
        <v>6509675.6200000001</v>
      </c>
      <c r="S63" s="18">
        <f>'Formato 6 c)'!E71</f>
        <v>6509675.6200000001</v>
      </c>
      <c r="T63" s="18">
        <f>'Formato 6 c)'!F71</f>
        <v>6509675.6200000001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4015516</v>
      </c>
      <c r="Q64" s="18">
        <f>'Formato 6 c)'!C72</f>
        <v>-280944.38</v>
      </c>
      <c r="R64" s="18">
        <f>'Formato 6 c)'!D72</f>
        <v>3734571.62</v>
      </c>
      <c r="S64" s="18">
        <f>'Formato 6 c)'!E72</f>
        <v>3734571.62</v>
      </c>
      <c r="T64" s="18">
        <f>'Formato 6 c)'!F72</f>
        <v>3734571.62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2775104</v>
      </c>
      <c r="Q65" s="18">
        <f>'Formato 6 c)'!C73</f>
        <v>0</v>
      </c>
      <c r="R65" s="18">
        <f>'Formato 6 c)'!D73</f>
        <v>2775104</v>
      </c>
      <c r="S65" s="18">
        <f>'Formato 6 c)'!E73</f>
        <v>2775104</v>
      </c>
      <c r="T65" s="18">
        <f>'Formato 6 c)'!F73</f>
        <v>2775104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644098554.96000004</v>
      </c>
      <c r="Q68" s="18">
        <f>'Formato 6 c)'!C77</f>
        <v>263354422.88</v>
      </c>
      <c r="R68" s="18">
        <f>'Formato 6 c)'!D77</f>
        <v>907452977.83999991</v>
      </c>
      <c r="S68" s="18">
        <f>'Formato 6 c)'!E77</f>
        <v>806128299.60000002</v>
      </c>
      <c r="T68" s="18">
        <f>'Formato 6 c)'!F77</f>
        <v>773900704.82999992</v>
      </c>
      <c r="U68" s="18">
        <f>'Formato 6 c)'!G77</f>
        <v>101324678.23999998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821</v>
      </c>
    </row>
    <row r="6" spans="2:3" x14ac:dyDescent="0.3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x14ac:dyDescent="0.3">
      <c r="C7" t="str">
        <f>CONCATENATE(ENTE_PUBLICO," (a)")</f>
        <v>ORGANISMO, Gobierno del Estado de Guanajuato (a)</v>
      </c>
    </row>
    <row r="8" spans="2:3" ht="27" customHeight="1" x14ac:dyDescent="0.3">
      <c r="B8" t="s">
        <v>787</v>
      </c>
      <c r="C8" s="24" t="s">
        <v>799</v>
      </c>
    </row>
    <row r="10" spans="2:3" ht="25.5" customHeight="1" x14ac:dyDescent="0.3">
      <c r="B10" t="s">
        <v>788</v>
      </c>
      <c r="C10" s="24" t="s">
        <v>799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3">
      <c r="B12" t="s">
        <v>786</v>
      </c>
      <c r="C12" s="24">
        <v>2021</v>
      </c>
    </row>
    <row r="14" spans="2:3" x14ac:dyDescent="0.3">
      <c r="B14" t="s">
        <v>785</v>
      </c>
      <c r="C14" s="24" t="s">
        <v>3295</v>
      </c>
    </row>
    <row r="15" spans="2:3" x14ac:dyDescent="0.3">
      <c r="C15" s="24">
        <v>4</v>
      </c>
    </row>
    <row r="16" spans="2:3" x14ac:dyDescent="0.3">
      <c r="C16" s="24" t="s">
        <v>3296</v>
      </c>
    </row>
    <row r="18" spans="4:9" ht="129.6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2021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2021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2021 (m = g – l)</v>
      </c>
    </row>
    <row r="20" spans="4:9" ht="57.6" x14ac:dyDescent="0.3">
      <c r="D20" s="21" t="str">
        <f>CONCATENATE(ANIO_INFORME, " (d)")</f>
        <v>2021 (d)</v>
      </c>
      <c r="E20" s="22" t="str">
        <f>CONCATENATE("31 de diciembre de ",ANIO_INFORME-1, " (e)")</f>
        <v>31 de diciembre de 2020 (e)</v>
      </c>
      <c r="F20" s="31" t="str">
        <f>CONCATENATE("Saldo al 31 de diciembre de ",ANIO_INFORME-1, " (d)")</f>
        <v>Saldo al 31 de diciembre de 2020 (d)</v>
      </c>
    </row>
    <row r="23" spans="4:9" x14ac:dyDescent="0.3">
      <c r="D23" s="33">
        <f>ANIO_INFORME + 1</f>
        <v>2022</v>
      </c>
      <c r="E23" s="34" t="str">
        <f>CONCATENATE(ANIO_INFORME + 2, " (d)")</f>
        <v>2023 (d)</v>
      </c>
      <c r="F23" s="34" t="str">
        <f>CONCATENATE(ANIO_INFORME + 3, " (d)")</f>
        <v>2024 (d)</v>
      </c>
      <c r="G23" s="34" t="str">
        <f>CONCATENATE(ANIO_INFORME + 4, " (d)")</f>
        <v>2025 (d)</v>
      </c>
      <c r="H23" s="34" t="str">
        <f>CONCATENATE(ANIO_INFORME + 5, " (d)")</f>
        <v>2026 (d)</v>
      </c>
      <c r="I23" s="34" t="str">
        <f>CONCATENATE(ANIO_INFORME + 6, " (d)")</f>
        <v>2027 (d)</v>
      </c>
    </row>
    <row r="25" spans="4:9" x14ac:dyDescent="0.3">
      <c r="D25" s="35" t="str">
        <f>CONCATENATE(ANIO_INFORME - 5, " ",CHAR(185)," (c)")</f>
        <v>2016 ¹ (c)</v>
      </c>
      <c r="E25" s="35" t="str">
        <f>CONCATENATE(ANIO_INFORME - 4, " ",CHAR(185)," (c)")</f>
        <v>2017 ¹ (c)</v>
      </c>
      <c r="F25" s="35" t="str">
        <f>CONCATENATE(ANIO_INFORME - 3, " ",CHAR(185)," (c)")</f>
        <v>2018 ¹ (c)</v>
      </c>
      <c r="G25" s="35" t="str">
        <f>CONCATENATE(ANIO_INFORME - 2, " ",CHAR(185)," (c)")</f>
        <v>2019 ¹ (c)</v>
      </c>
      <c r="H25" s="35" t="str">
        <f>CONCATENATE(ANIO_INFORME - 1, " ",CHAR(185)," (c)")</f>
        <v>2020 ¹ (c)</v>
      </c>
      <c r="I25" s="33">
        <f>ANIO_INFORME</f>
        <v>2021</v>
      </c>
    </row>
    <row r="26" spans="4:9" x14ac:dyDescent="0.3">
      <c r="D26" s="92"/>
    </row>
    <row r="29" spans="4:9" x14ac:dyDescent="0.3">
      <c r="D29" t="s">
        <v>3135</v>
      </c>
      <c r="E29" t="s">
        <v>3136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3137</v>
      </c>
      <c r="E32" t="s">
        <v>3138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C15" sqref="C15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207" t="s">
        <v>3280</v>
      </c>
      <c r="B1" s="206"/>
      <c r="C1" s="206"/>
      <c r="D1" s="206"/>
      <c r="E1" s="206"/>
      <c r="F1" s="206"/>
      <c r="G1" s="206"/>
    </row>
    <row r="2" spans="1:7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89"/>
      <c r="G2" s="190"/>
    </row>
    <row r="3" spans="1:7" x14ac:dyDescent="0.3">
      <c r="A3" s="194" t="s">
        <v>277</v>
      </c>
      <c r="B3" s="195"/>
      <c r="C3" s="195"/>
      <c r="D3" s="195"/>
      <c r="E3" s="195"/>
      <c r="F3" s="195"/>
      <c r="G3" s="196"/>
    </row>
    <row r="4" spans="1:7" x14ac:dyDescent="0.3">
      <c r="A4" s="194" t="s">
        <v>399</v>
      </c>
      <c r="B4" s="195"/>
      <c r="C4" s="195"/>
      <c r="D4" s="195"/>
      <c r="E4" s="195"/>
      <c r="F4" s="195"/>
      <c r="G4" s="196"/>
    </row>
    <row r="5" spans="1:7" x14ac:dyDescent="0.3">
      <c r="A5" s="194" t="str">
        <f>TRIMESTRE</f>
        <v>Del 1 de enero al 31 de diciembre de 2021 (b)</v>
      </c>
      <c r="B5" s="195"/>
      <c r="C5" s="195"/>
      <c r="D5" s="195"/>
      <c r="E5" s="195"/>
      <c r="F5" s="195"/>
      <c r="G5" s="196"/>
    </row>
    <row r="6" spans="1:7" x14ac:dyDescent="0.3">
      <c r="A6" s="197" t="s">
        <v>118</v>
      </c>
      <c r="B6" s="198"/>
      <c r="C6" s="198"/>
      <c r="D6" s="198"/>
      <c r="E6" s="198"/>
      <c r="F6" s="198"/>
      <c r="G6" s="199"/>
    </row>
    <row r="7" spans="1:7" x14ac:dyDescent="0.3">
      <c r="A7" s="203" t="s">
        <v>361</v>
      </c>
      <c r="B7" s="208" t="s">
        <v>279</v>
      </c>
      <c r="C7" s="208"/>
      <c r="D7" s="208"/>
      <c r="E7" s="208"/>
      <c r="F7" s="208"/>
      <c r="G7" s="208" t="s">
        <v>280</v>
      </c>
    </row>
    <row r="8" spans="1:7" ht="29.25" customHeight="1" x14ac:dyDescent="0.3">
      <c r="A8" s="204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15"/>
    </row>
    <row r="9" spans="1:7" x14ac:dyDescent="0.3">
      <c r="A9" s="52" t="s">
        <v>400</v>
      </c>
      <c r="B9" s="66">
        <f>SUM(B10,B11,B12,B15,B16,B19)</f>
        <v>290389751.95999998</v>
      </c>
      <c r="C9" s="66">
        <f t="shared" ref="C9:F9" si="0">SUM(C10,C11,C12,C15,C16,C19)</f>
        <v>36187342.640000001</v>
      </c>
      <c r="D9" s="66">
        <f t="shared" si="0"/>
        <v>326577094.59999996</v>
      </c>
      <c r="E9" s="66">
        <f t="shared" si="0"/>
        <v>311205290.13999999</v>
      </c>
      <c r="F9" s="66">
        <f t="shared" si="0"/>
        <v>303176195.80000001</v>
      </c>
      <c r="G9" s="66">
        <f>SUM(G10,G11,G12,G15,G16,G19)</f>
        <v>15371804.459999979</v>
      </c>
    </row>
    <row r="10" spans="1:7" x14ac:dyDescent="0.3">
      <c r="A10" s="53" t="s">
        <v>401</v>
      </c>
      <c r="B10" s="162">
        <v>290389751.95999998</v>
      </c>
      <c r="C10" s="162">
        <v>36187342.640000001</v>
      </c>
      <c r="D10" s="163">
        <f>B10+C10</f>
        <v>326577094.59999996</v>
      </c>
      <c r="E10" s="162">
        <v>311205290.13999999</v>
      </c>
      <c r="F10" s="162">
        <v>303176195.80000001</v>
      </c>
      <c r="G10" s="67">
        <f>D10-E10</f>
        <v>15371804.459999979</v>
      </c>
    </row>
    <row r="11" spans="1:7" x14ac:dyDescent="0.3">
      <c r="A11" s="53" t="s">
        <v>402</v>
      </c>
      <c r="B11" s="163"/>
      <c r="C11" s="163"/>
      <c r="D11" s="163">
        <f>B11+C11</f>
        <v>0</v>
      </c>
      <c r="E11" s="163"/>
      <c r="F11" s="163"/>
      <c r="G11" s="67">
        <f>D11-E11</f>
        <v>0</v>
      </c>
    </row>
    <row r="12" spans="1:7" x14ac:dyDescent="0.3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163"/>
      <c r="C13" s="163"/>
      <c r="D13" s="163">
        <f>B13+C13</f>
        <v>0</v>
      </c>
      <c r="E13" s="163"/>
      <c r="F13" s="163"/>
      <c r="G13" s="67">
        <f>D13-E13</f>
        <v>0</v>
      </c>
    </row>
    <row r="14" spans="1:7" x14ac:dyDescent="0.3">
      <c r="A14" s="63" t="s">
        <v>405</v>
      </c>
      <c r="B14" s="163"/>
      <c r="C14" s="163"/>
      <c r="D14" s="163">
        <f>B14+C14</f>
        <v>0</v>
      </c>
      <c r="E14" s="163"/>
      <c r="F14" s="163"/>
      <c r="G14" s="67">
        <f t="shared" ref="G14:G15" si="2">D14-E14</f>
        <v>0</v>
      </c>
    </row>
    <row r="15" spans="1:7" x14ac:dyDescent="0.3">
      <c r="A15" s="53" t="s">
        <v>406</v>
      </c>
      <c r="B15" s="163"/>
      <c r="C15" s="163"/>
      <c r="D15" s="163">
        <f>B15+C15</f>
        <v>0</v>
      </c>
      <c r="E15" s="163"/>
      <c r="F15" s="163"/>
      <c r="G15" s="67">
        <f t="shared" si="2"/>
        <v>0</v>
      </c>
    </row>
    <row r="16" spans="1:7" x14ac:dyDescent="0.3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3">
      <c r="A17" s="63" t="s">
        <v>408</v>
      </c>
      <c r="B17" s="163"/>
      <c r="C17" s="163"/>
      <c r="D17" s="163">
        <f>B17+C17</f>
        <v>0</v>
      </c>
      <c r="E17" s="163"/>
      <c r="F17" s="163"/>
      <c r="G17" s="67">
        <f>D17-E17</f>
        <v>0</v>
      </c>
    </row>
    <row r="18" spans="1:7" x14ac:dyDescent="0.3">
      <c r="A18" s="63" t="s">
        <v>409</v>
      </c>
      <c r="B18" s="163"/>
      <c r="C18" s="163"/>
      <c r="D18" s="163">
        <f>B18+C18</f>
        <v>0</v>
      </c>
      <c r="E18" s="163"/>
      <c r="F18" s="163"/>
      <c r="G18" s="67">
        <f>D18-E18</f>
        <v>0</v>
      </c>
    </row>
    <row r="19" spans="1:7" x14ac:dyDescent="0.3">
      <c r="A19" s="53" t="s">
        <v>410</v>
      </c>
      <c r="B19" s="163"/>
      <c r="C19" s="163"/>
      <c r="D19" s="163">
        <f>B19+C19</f>
        <v>0</v>
      </c>
      <c r="E19" s="163"/>
      <c r="F19" s="163"/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103358962</v>
      </c>
      <c r="C21" s="66">
        <f t="shared" ref="C21:F21" si="4">SUM(C22,C23,C24,C27,C28,C31)</f>
        <v>-2191960.4</v>
      </c>
      <c r="D21" s="66">
        <f t="shared" si="4"/>
        <v>101167001.59999999</v>
      </c>
      <c r="E21" s="66">
        <f t="shared" si="4"/>
        <v>101144501.59999999</v>
      </c>
      <c r="F21" s="66">
        <f t="shared" si="4"/>
        <v>99933040.519999996</v>
      </c>
      <c r="G21" s="66">
        <f>SUM(G22,G23,G24,G27,G28,G31)</f>
        <v>22500</v>
      </c>
    </row>
    <row r="22" spans="1:7" s="24" customFormat="1" x14ac:dyDescent="0.3">
      <c r="A22" s="53" t="s">
        <v>401</v>
      </c>
      <c r="B22" s="162">
        <v>103358962</v>
      </c>
      <c r="C22" s="162">
        <v>-2191960.4</v>
      </c>
      <c r="D22" s="163">
        <f>B22+C22</f>
        <v>101167001.59999999</v>
      </c>
      <c r="E22" s="162">
        <v>101144501.59999999</v>
      </c>
      <c r="F22" s="162">
        <v>99933040.519999996</v>
      </c>
      <c r="G22" s="67">
        <f>D22-E22</f>
        <v>22500</v>
      </c>
    </row>
    <row r="23" spans="1:7" s="24" customFormat="1" x14ac:dyDescent="0.3">
      <c r="A23" s="53" t="s">
        <v>402</v>
      </c>
      <c r="B23" s="163"/>
      <c r="C23" s="163"/>
      <c r="D23" s="163">
        <f>B23+C23</f>
        <v>0</v>
      </c>
      <c r="E23" s="163"/>
      <c r="F23" s="163"/>
      <c r="G23" s="67">
        <f>D23-E23</f>
        <v>0</v>
      </c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3">
      <c r="A25" s="63" t="s">
        <v>404</v>
      </c>
      <c r="B25" s="163"/>
      <c r="C25" s="163"/>
      <c r="D25" s="163">
        <f>B25+C25</f>
        <v>0</v>
      </c>
      <c r="E25" s="163"/>
      <c r="F25" s="163"/>
      <c r="G25" s="67">
        <f>D25-E25</f>
        <v>0</v>
      </c>
    </row>
    <row r="26" spans="1:7" s="24" customFormat="1" x14ac:dyDescent="0.3">
      <c r="A26" s="63" t="s">
        <v>405</v>
      </c>
      <c r="B26" s="163"/>
      <c r="C26" s="163"/>
      <c r="D26" s="163">
        <f>B26+C26</f>
        <v>0</v>
      </c>
      <c r="E26" s="163"/>
      <c r="F26" s="163"/>
      <c r="G26" s="67">
        <f t="shared" ref="G26:G27" si="6">D26-E26</f>
        <v>0</v>
      </c>
    </row>
    <row r="27" spans="1:7" s="24" customFormat="1" x14ac:dyDescent="0.3">
      <c r="A27" s="53" t="s">
        <v>406</v>
      </c>
      <c r="B27" s="163"/>
      <c r="C27" s="163"/>
      <c r="D27" s="163"/>
      <c r="E27" s="163"/>
      <c r="F27" s="163"/>
      <c r="G27" s="67">
        <f t="shared" si="6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3">
      <c r="A29" s="63" t="s">
        <v>408</v>
      </c>
      <c r="B29" s="163"/>
      <c r="C29" s="163"/>
      <c r="D29" s="163">
        <f>B29+C29</f>
        <v>0</v>
      </c>
      <c r="E29" s="163"/>
      <c r="F29" s="163"/>
      <c r="G29" s="67">
        <f>D29-E29</f>
        <v>0</v>
      </c>
    </row>
    <row r="30" spans="1:7" s="24" customFormat="1" x14ac:dyDescent="0.3">
      <c r="A30" s="63" t="s">
        <v>409</v>
      </c>
      <c r="B30" s="163"/>
      <c r="C30" s="163"/>
      <c r="D30" s="163">
        <f>B30+C30</f>
        <v>0</v>
      </c>
      <c r="E30" s="163"/>
      <c r="F30" s="163"/>
      <c r="G30" s="67">
        <f t="shared" ref="G30:G31" si="8">D30-E30</f>
        <v>0</v>
      </c>
    </row>
    <row r="31" spans="1:7" s="24" customFormat="1" x14ac:dyDescent="0.3">
      <c r="A31" s="53" t="s">
        <v>410</v>
      </c>
      <c r="B31" s="163"/>
      <c r="C31" s="163"/>
      <c r="D31" s="163">
        <f>B31+C31</f>
        <v>0</v>
      </c>
      <c r="E31" s="163"/>
      <c r="F31" s="163"/>
      <c r="G31" s="67">
        <f t="shared" si="8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393748713.95999998</v>
      </c>
      <c r="C33" s="66">
        <f t="shared" ref="C33:F33" si="9">C21+C9</f>
        <v>33995382.240000002</v>
      </c>
      <c r="D33" s="66">
        <f t="shared" si="9"/>
        <v>427744096.19999993</v>
      </c>
      <c r="E33" s="66">
        <f t="shared" si="9"/>
        <v>412349791.74000001</v>
      </c>
      <c r="F33" s="66">
        <f t="shared" si="9"/>
        <v>403109236.31999999</v>
      </c>
      <c r="G33" s="66">
        <f>G21+G9</f>
        <v>15394304.459999979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290389751.95999998</v>
      </c>
      <c r="Q2" s="18">
        <f>'Formato 6 d)'!C9</f>
        <v>36187342.640000001</v>
      </c>
      <c r="R2" s="18">
        <f>'Formato 6 d)'!D9</f>
        <v>326577094.59999996</v>
      </c>
      <c r="S2" s="18">
        <f>'Formato 6 d)'!E9</f>
        <v>311205290.13999999</v>
      </c>
      <c r="T2" s="18">
        <f>'Formato 6 d)'!F9</f>
        <v>303176195.80000001</v>
      </c>
      <c r="U2" s="18">
        <f>'Formato 6 d)'!G9</f>
        <v>15371804.459999979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290389751.95999998</v>
      </c>
      <c r="Q3" s="18">
        <f>'Formato 6 d)'!C10</f>
        <v>36187342.640000001</v>
      </c>
      <c r="R3" s="18">
        <f>'Formato 6 d)'!D10</f>
        <v>326577094.59999996</v>
      </c>
      <c r="S3" s="18">
        <f>'Formato 6 d)'!E10</f>
        <v>311205290.13999999</v>
      </c>
      <c r="T3" s="18">
        <f>'Formato 6 d)'!F10</f>
        <v>303176195.80000001</v>
      </c>
      <c r="U3" s="18">
        <f>'Formato 6 d)'!G10</f>
        <v>15371804.459999979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103358962</v>
      </c>
      <c r="Q13" s="18">
        <f>'Formato 6 d)'!C21</f>
        <v>-2191960.4</v>
      </c>
      <c r="R13" s="18">
        <f>'Formato 6 d)'!D21</f>
        <v>101167001.59999999</v>
      </c>
      <c r="S13" s="18">
        <f>'Formato 6 d)'!E21</f>
        <v>101144501.59999999</v>
      </c>
      <c r="T13" s="18">
        <f>'Formato 6 d)'!F21</f>
        <v>99933040.519999996</v>
      </c>
      <c r="U13" s="18">
        <f>'Formato 6 d)'!G21</f>
        <v>22500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103358962</v>
      </c>
      <c r="Q14" s="18">
        <f>'Formato 6 d)'!C22</f>
        <v>-2191960.4</v>
      </c>
      <c r="R14" s="18">
        <f>'Formato 6 d)'!D22</f>
        <v>101167001.59999999</v>
      </c>
      <c r="S14" s="18">
        <f>'Formato 6 d)'!E22</f>
        <v>101144501.59999999</v>
      </c>
      <c r="T14" s="18">
        <f>'Formato 6 d)'!F22</f>
        <v>99933040.519999996</v>
      </c>
      <c r="U14" s="18">
        <f>'Formato 6 d)'!G22</f>
        <v>22500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393748713.95999998</v>
      </c>
      <c r="Q24" s="18">
        <f>'Formato 6 d)'!C33</f>
        <v>33995382.240000002</v>
      </c>
      <c r="R24" s="18">
        <f>'Formato 6 d)'!D33</f>
        <v>427744096.19999993</v>
      </c>
      <c r="S24" s="18">
        <f>'Formato 6 d)'!E33</f>
        <v>412349791.74000001</v>
      </c>
      <c r="T24" s="18">
        <f>'Formato 6 d)'!F33</f>
        <v>403109236.31999999</v>
      </c>
      <c r="U24" s="18">
        <f>'Formato 6 d)'!G33</f>
        <v>15394304.459999979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C12" sqref="C12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206" t="s">
        <v>413</v>
      </c>
      <c r="B1" s="206"/>
      <c r="C1" s="206"/>
      <c r="D1" s="206"/>
      <c r="E1" s="206"/>
      <c r="F1" s="206"/>
      <c r="G1" s="206"/>
    </row>
    <row r="2" spans="1:7" x14ac:dyDescent="0.3">
      <c r="A2" s="188" t="str">
        <f>ENTIDAD</f>
        <v>Municipio de Guanajuato, Gobierno del Estado de Guanajuato</v>
      </c>
      <c r="B2" s="189"/>
      <c r="C2" s="189"/>
      <c r="D2" s="189"/>
      <c r="E2" s="189"/>
      <c r="F2" s="189"/>
      <c r="G2" s="190"/>
    </row>
    <row r="3" spans="1:7" x14ac:dyDescent="0.3">
      <c r="A3" s="191" t="s">
        <v>414</v>
      </c>
      <c r="B3" s="192"/>
      <c r="C3" s="192"/>
      <c r="D3" s="192"/>
      <c r="E3" s="192"/>
      <c r="F3" s="192"/>
      <c r="G3" s="193"/>
    </row>
    <row r="4" spans="1:7" x14ac:dyDescent="0.3">
      <c r="A4" s="191" t="s">
        <v>118</v>
      </c>
      <c r="B4" s="192"/>
      <c r="C4" s="192"/>
      <c r="D4" s="192"/>
      <c r="E4" s="192"/>
      <c r="F4" s="192"/>
      <c r="G4" s="193"/>
    </row>
    <row r="5" spans="1:7" x14ac:dyDescent="0.3">
      <c r="A5" s="191" t="s">
        <v>415</v>
      </c>
      <c r="B5" s="192"/>
      <c r="C5" s="192"/>
      <c r="D5" s="192"/>
      <c r="E5" s="192"/>
      <c r="F5" s="192"/>
      <c r="G5" s="193"/>
    </row>
    <row r="6" spans="1:7" x14ac:dyDescent="0.3">
      <c r="A6" s="203" t="s">
        <v>3281</v>
      </c>
      <c r="B6" s="51">
        <f>ANIO1P</f>
        <v>2022</v>
      </c>
      <c r="C6" s="216" t="str">
        <f>ANIO2P</f>
        <v>2023 (d)</v>
      </c>
      <c r="D6" s="216" t="str">
        <f>ANIO3P</f>
        <v>2024 (d)</v>
      </c>
      <c r="E6" s="216" t="str">
        <f>ANIO4P</f>
        <v>2025 (d)</v>
      </c>
      <c r="F6" s="216" t="str">
        <f>ANIO5P</f>
        <v>2026 (d)</v>
      </c>
      <c r="G6" s="216" t="str">
        <f>ANIO6P</f>
        <v>2027 (d)</v>
      </c>
    </row>
    <row r="7" spans="1:7" ht="48" customHeight="1" x14ac:dyDescent="0.3">
      <c r="A7" s="204"/>
      <c r="B7" s="88" t="s">
        <v>3284</v>
      </c>
      <c r="C7" s="217"/>
      <c r="D7" s="217"/>
      <c r="E7" s="217"/>
      <c r="F7" s="217"/>
      <c r="G7" s="217"/>
    </row>
    <row r="8" spans="1:7" x14ac:dyDescent="0.3">
      <c r="A8" s="52" t="s">
        <v>421</v>
      </c>
      <c r="B8" s="59">
        <f>SUM(B9:B20)</f>
        <v>531508300.48000002</v>
      </c>
      <c r="C8" s="59">
        <f t="shared" ref="C8:G8" si="0">SUM(C9:C20)</f>
        <v>553300140.79967999</v>
      </c>
      <c r="D8" s="59">
        <f t="shared" si="0"/>
        <v>573274275.88254845</v>
      </c>
      <c r="E8" s="59">
        <f t="shared" si="0"/>
        <v>593969477.24190855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>
        <v>103191373.5</v>
      </c>
      <c r="C9" s="60">
        <f>B9*1.041</f>
        <v>107422219.81349999</v>
      </c>
      <c r="D9" s="60">
        <f>C9*1.0361</f>
        <v>111300161.94876733</v>
      </c>
      <c r="E9" s="60">
        <f>D9*1.0361</f>
        <v>115318097.79511784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f t="shared" ref="C10:C20" si="1">B10*1.041</f>
        <v>0</v>
      </c>
      <c r="D10" s="60">
        <f t="shared" ref="D10:E20" si="2">C10*1.0361</f>
        <v>0</v>
      </c>
      <c r="E10" s="60">
        <f t="shared" si="2"/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f t="shared" si="1"/>
        <v>0</v>
      </c>
      <c r="D11" s="60">
        <f t="shared" si="2"/>
        <v>0</v>
      </c>
      <c r="E11" s="60">
        <f t="shared" si="2"/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104813621.04000001</v>
      </c>
      <c r="C12" s="60">
        <f t="shared" si="1"/>
        <v>109110979.50263999</v>
      </c>
      <c r="D12" s="60">
        <f t="shared" si="2"/>
        <v>113049885.86268529</v>
      </c>
      <c r="E12" s="60">
        <f t="shared" si="2"/>
        <v>117130986.74232824</v>
      </c>
      <c r="F12" s="60">
        <v>0</v>
      </c>
      <c r="G12" s="60">
        <v>0</v>
      </c>
    </row>
    <row r="13" spans="1:7" x14ac:dyDescent="0.3">
      <c r="A13" s="53" t="s">
        <v>220</v>
      </c>
      <c r="B13" s="60">
        <v>8748399.9199999999</v>
      </c>
      <c r="C13" s="60">
        <f t="shared" si="1"/>
        <v>9107084.3167199995</v>
      </c>
      <c r="D13" s="60">
        <f t="shared" si="2"/>
        <v>9435850.0605535917</v>
      </c>
      <c r="E13" s="60">
        <f t="shared" si="2"/>
        <v>9776484.2477395758</v>
      </c>
      <c r="F13" s="60">
        <v>0</v>
      </c>
      <c r="G13" s="60">
        <v>0</v>
      </c>
    </row>
    <row r="14" spans="1:7" x14ac:dyDescent="0.3">
      <c r="A14" s="53" t="s">
        <v>221</v>
      </c>
      <c r="B14" s="60">
        <v>15151209.310000001</v>
      </c>
      <c r="C14" s="60">
        <f t="shared" si="1"/>
        <v>15772408.89171</v>
      </c>
      <c r="D14" s="60">
        <f t="shared" si="2"/>
        <v>16341792.852700731</v>
      </c>
      <c r="E14" s="60">
        <f t="shared" si="2"/>
        <v>16931731.574683227</v>
      </c>
      <c r="F14" s="60">
        <v>0</v>
      </c>
      <c r="G14" s="60">
        <v>0</v>
      </c>
    </row>
    <row r="15" spans="1:7" x14ac:dyDescent="0.3">
      <c r="A15" s="53" t="s">
        <v>417</v>
      </c>
      <c r="B15" s="60">
        <v>0</v>
      </c>
      <c r="C15" s="60">
        <f t="shared" si="1"/>
        <v>0</v>
      </c>
      <c r="D15" s="60">
        <f t="shared" si="2"/>
        <v>0</v>
      </c>
      <c r="E15" s="60">
        <f t="shared" si="2"/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295307630.71000004</v>
      </c>
      <c r="C16" s="60">
        <f t="shared" si="1"/>
        <v>307415243.56911004</v>
      </c>
      <c r="D16" s="60">
        <f t="shared" si="2"/>
        <v>318512933.86195493</v>
      </c>
      <c r="E16" s="60">
        <f t="shared" si="2"/>
        <v>330011250.7743715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f t="shared" si="1"/>
        <v>0</v>
      </c>
      <c r="D17" s="60">
        <f t="shared" si="2"/>
        <v>0</v>
      </c>
      <c r="E17" s="60">
        <f t="shared" si="2"/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0</v>
      </c>
      <c r="C18" s="60">
        <f t="shared" si="1"/>
        <v>0</v>
      </c>
      <c r="D18" s="60">
        <f t="shared" si="2"/>
        <v>0</v>
      </c>
      <c r="E18" s="60">
        <f t="shared" si="2"/>
        <v>0</v>
      </c>
      <c r="F18" s="60">
        <v>0</v>
      </c>
      <c r="G18" s="60">
        <v>0</v>
      </c>
    </row>
    <row r="19" spans="1:7" x14ac:dyDescent="0.3">
      <c r="A19" s="53" t="s">
        <v>241</v>
      </c>
      <c r="B19" s="60">
        <v>4296066</v>
      </c>
      <c r="C19" s="60">
        <f t="shared" si="1"/>
        <v>4472204.7059999993</v>
      </c>
      <c r="D19" s="60">
        <f t="shared" si="2"/>
        <v>4633651.2958865995</v>
      </c>
      <c r="E19" s="60">
        <f t="shared" si="2"/>
        <v>4800926.1076681055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f t="shared" si="1"/>
        <v>0</v>
      </c>
      <c r="D20" s="60">
        <f t="shared" si="2"/>
        <v>0</v>
      </c>
      <c r="E20" s="60">
        <f t="shared" si="2"/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179419362.36000001</v>
      </c>
      <c r="C22" s="61">
        <f t="shared" ref="C22:G22" si="3">SUM(C23:C27)</f>
        <v>186775556.21676001</v>
      </c>
      <c r="D22" s="61">
        <f t="shared" si="3"/>
        <v>193518153.79618505</v>
      </c>
      <c r="E22" s="61">
        <f t="shared" si="3"/>
        <v>200504159.14822733</v>
      </c>
      <c r="F22" s="61">
        <f t="shared" si="3"/>
        <v>0</v>
      </c>
      <c r="G22" s="61">
        <f t="shared" si="3"/>
        <v>0</v>
      </c>
    </row>
    <row r="23" spans="1:7" x14ac:dyDescent="0.3">
      <c r="A23" s="53" t="s">
        <v>423</v>
      </c>
      <c r="B23" s="60">
        <v>179419362.36000001</v>
      </c>
      <c r="C23" s="60">
        <f t="shared" ref="C23:C27" si="4">B23*1.041</f>
        <v>186775556.21676001</v>
      </c>
      <c r="D23" s="60">
        <f t="shared" ref="D23:E27" si="5">C23*1.0361</f>
        <v>193518153.79618505</v>
      </c>
      <c r="E23" s="60">
        <f t="shared" si="5"/>
        <v>200504159.14822733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f t="shared" si="4"/>
        <v>0</v>
      </c>
      <c r="D24" s="60">
        <f t="shared" si="5"/>
        <v>0</v>
      </c>
      <c r="E24" s="60">
        <f t="shared" si="5"/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f t="shared" si="4"/>
        <v>0</v>
      </c>
      <c r="D25" s="60">
        <f t="shared" si="5"/>
        <v>0</v>
      </c>
      <c r="E25" s="60">
        <f t="shared" si="5"/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f t="shared" si="4"/>
        <v>0</v>
      </c>
      <c r="D26" s="60">
        <f t="shared" si="5"/>
        <v>0</v>
      </c>
      <c r="E26" s="60">
        <f t="shared" si="5"/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f t="shared" si="4"/>
        <v>0</v>
      </c>
      <c r="D27" s="60">
        <f t="shared" si="5"/>
        <v>0</v>
      </c>
      <c r="E27" s="60">
        <f t="shared" si="5"/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6">C30</f>
        <v>0</v>
      </c>
      <c r="D29" s="61">
        <f t="shared" si="6"/>
        <v>0</v>
      </c>
      <c r="E29" s="61">
        <f t="shared" si="6"/>
        <v>0</v>
      </c>
      <c r="F29" s="61">
        <f t="shared" si="6"/>
        <v>0</v>
      </c>
      <c r="G29" s="61">
        <f t="shared" si="6"/>
        <v>0</v>
      </c>
    </row>
    <row r="30" spans="1:7" x14ac:dyDescent="0.3">
      <c r="A30" s="53" t="s">
        <v>269</v>
      </c>
      <c r="B30" s="60">
        <v>0</v>
      </c>
      <c r="C30" s="60">
        <f t="shared" ref="C30" si="7">B30*1.041</f>
        <v>0</v>
      </c>
      <c r="D30" s="60">
        <f t="shared" ref="D30:E30" si="8">C30*1.0361</f>
        <v>0</v>
      </c>
      <c r="E30" s="60">
        <f t="shared" si="8"/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710927662.84000003</v>
      </c>
      <c r="C32" s="61">
        <f>C29+C22+C8</f>
        <v>740075697.01644003</v>
      </c>
      <c r="D32" s="61">
        <f t="shared" ref="D32:F32" si="9">D29+D22+D8</f>
        <v>766792429.67873347</v>
      </c>
      <c r="E32" s="61">
        <f t="shared" si="9"/>
        <v>794473636.39013588</v>
      </c>
      <c r="F32" s="61">
        <f t="shared" si="9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0</v>
      </c>
      <c r="C37" s="61">
        <f t="shared" ref="C37:F37" si="10">C36+C35</f>
        <v>0</v>
      </c>
      <c r="D37" s="61">
        <f t="shared" si="10"/>
        <v>0</v>
      </c>
      <c r="E37" s="61">
        <f t="shared" si="10"/>
        <v>0</v>
      </c>
      <c r="F37" s="61">
        <f t="shared" si="10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531508300.48000002</v>
      </c>
      <c r="Q2" s="18">
        <f>'Formato 7 a)'!C8</f>
        <v>553300140.79967999</v>
      </c>
      <c r="R2" s="18">
        <f>'Formato 7 a)'!D8</f>
        <v>573274275.88254845</v>
      </c>
      <c r="S2" s="18">
        <f>'Formato 7 a)'!E8</f>
        <v>593969477.24190855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103191373.5</v>
      </c>
      <c r="Q3" s="18">
        <f>'Formato 7 a)'!C9</f>
        <v>107422219.81349999</v>
      </c>
      <c r="R3" s="18">
        <f>'Formato 7 a)'!D9</f>
        <v>111300161.94876733</v>
      </c>
      <c r="S3" s="18">
        <f>'Formato 7 a)'!E9</f>
        <v>115318097.79511784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104813621.04000001</v>
      </c>
      <c r="Q6" s="18">
        <f>'Formato 7 a)'!C12</f>
        <v>109110979.50263999</v>
      </c>
      <c r="R6" s="18">
        <f>'Formato 7 a)'!D12</f>
        <v>113049885.86268529</v>
      </c>
      <c r="S6" s="18">
        <f>'Formato 7 a)'!E12</f>
        <v>117130986.74232824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8748399.9199999999</v>
      </c>
      <c r="Q7" s="18">
        <f>'Formato 7 a)'!C13</f>
        <v>9107084.3167199995</v>
      </c>
      <c r="R7" s="18">
        <f>'Formato 7 a)'!D13</f>
        <v>9435850.0605535917</v>
      </c>
      <c r="S7" s="18">
        <f>'Formato 7 a)'!E13</f>
        <v>9776484.2477395758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15151209.310000001</v>
      </c>
      <c r="Q8" s="18">
        <f>'Formato 7 a)'!C14</f>
        <v>15772408.89171</v>
      </c>
      <c r="R8" s="18">
        <f>'Formato 7 a)'!D14</f>
        <v>16341792.852700731</v>
      </c>
      <c r="S8" s="18">
        <f>'Formato 7 a)'!E14</f>
        <v>16931731.574683227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295307630.71000004</v>
      </c>
      <c r="Q10" s="18">
        <f>'Formato 7 a)'!C16</f>
        <v>307415243.56911004</v>
      </c>
      <c r="R10" s="18">
        <f>'Formato 7 a)'!D16</f>
        <v>318512933.86195493</v>
      </c>
      <c r="S10" s="18">
        <f>'Formato 7 a)'!E16</f>
        <v>330011250.7743715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4296066</v>
      </c>
      <c r="Q13" s="18">
        <f>'Formato 7 a)'!C19</f>
        <v>4472204.7059999993</v>
      </c>
      <c r="R13" s="18">
        <f>'Formato 7 a)'!D19</f>
        <v>4633651.2958865995</v>
      </c>
      <c r="S13" s="18">
        <f>'Formato 7 a)'!E19</f>
        <v>4800926.1076681055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179419362.36000001</v>
      </c>
      <c r="Q15" s="18">
        <f>'Formato 7 a)'!C22</f>
        <v>186775556.21676001</v>
      </c>
      <c r="R15" s="18">
        <f>'Formato 7 a)'!D22</f>
        <v>193518153.79618505</v>
      </c>
      <c r="S15" s="18">
        <f>'Formato 7 a)'!E22</f>
        <v>200504159.14822733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179419362.36000001</v>
      </c>
      <c r="Q16" s="18">
        <f>'Formato 7 a)'!C23</f>
        <v>186775556.21676001</v>
      </c>
      <c r="R16" s="18">
        <f>'Formato 7 a)'!D23</f>
        <v>193518153.79618505</v>
      </c>
      <c r="S16" s="18">
        <f>'Formato 7 a)'!E23</f>
        <v>200504159.14822733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710927662.84000003</v>
      </c>
      <c r="Q23" s="18">
        <f>'Formato 7 a)'!C32</f>
        <v>740075697.01644003</v>
      </c>
      <c r="R23" s="18">
        <f>'Formato 7 a)'!D32</f>
        <v>766792429.67873347</v>
      </c>
      <c r="S23" s="18">
        <f>'Formato 7 a)'!E32</f>
        <v>794473636.39013588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9" sqref="B9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206" t="s">
        <v>443</v>
      </c>
      <c r="B1" s="206"/>
      <c r="C1" s="206"/>
      <c r="D1" s="206"/>
      <c r="E1" s="206"/>
      <c r="F1" s="206"/>
      <c r="G1" s="206"/>
    </row>
    <row r="2" spans="1:7" customFormat="1" x14ac:dyDescent="0.3">
      <c r="A2" s="188" t="str">
        <f>ENTIDAD</f>
        <v>Municipio de Guanajuato, Gobierno del Estado de Guanajuato</v>
      </c>
      <c r="B2" s="189"/>
      <c r="C2" s="189"/>
      <c r="D2" s="189"/>
      <c r="E2" s="189"/>
      <c r="F2" s="189"/>
      <c r="G2" s="190"/>
    </row>
    <row r="3" spans="1:7" customFormat="1" x14ac:dyDescent="0.3">
      <c r="A3" s="191" t="s">
        <v>444</v>
      </c>
      <c r="B3" s="192"/>
      <c r="C3" s="192"/>
      <c r="D3" s="192"/>
      <c r="E3" s="192"/>
      <c r="F3" s="192"/>
      <c r="G3" s="193"/>
    </row>
    <row r="4" spans="1:7" customFormat="1" x14ac:dyDescent="0.3">
      <c r="A4" s="191" t="s">
        <v>118</v>
      </c>
      <c r="B4" s="192"/>
      <c r="C4" s="192"/>
      <c r="D4" s="192"/>
      <c r="E4" s="192"/>
      <c r="F4" s="192"/>
      <c r="G4" s="193"/>
    </row>
    <row r="5" spans="1:7" customFormat="1" x14ac:dyDescent="0.3">
      <c r="A5" s="191" t="s">
        <v>415</v>
      </c>
      <c r="B5" s="192"/>
      <c r="C5" s="192"/>
      <c r="D5" s="192"/>
      <c r="E5" s="192"/>
      <c r="F5" s="192"/>
      <c r="G5" s="193"/>
    </row>
    <row r="6" spans="1:7" customFormat="1" x14ac:dyDescent="0.3">
      <c r="A6" s="218" t="s">
        <v>3134</v>
      </c>
      <c r="B6" s="51">
        <f>ANIO1P</f>
        <v>2022</v>
      </c>
      <c r="C6" s="216" t="str">
        <f>ANIO2P</f>
        <v>2023 (d)</v>
      </c>
      <c r="D6" s="216" t="str">
        <f>ANIO3P</f>
        <v>2024 (d)</v>
      </c>
      <c r="E6" s="216" t="str">
        <f>ANIO4P</f>
        <v>2025 (d)</v>
      </c>
      <c r="F6" s="216" t="str">
        <f>ANIO5P</f>
        <v>2026 (d)</v>
      </c>
      <c r="G6" s="216" t="str">
        <f>ANIO6P</f>
        <v>2027 (d)</v>
      </c>
    </row>
    <row r="7" spans="1:7" customFormat="1" ht="48" customHeight="1" x14ac:dyDescent="0.3">
      <c r="A7" s="219"/>
      <c r="B7" s="88" t="s">
        <v>3284</v>
      </c>
      <c r="C7" s="217"/>
      <c r="D7" s="217"/>
      <c r="E7" s="217"/>
      <c r="F7" s="217"/>
      <c r="G7" s="217"/>
    </row>
    <row r="8" spans="1:7" x14ac:dyDescent="0.3">
      <c r="A8" s="52" t="s">
        <v>445</v>
      </c>
      <c r="B8" s="59">
        <f>SUM(B9:B17)</f>
        <v>531508300.48000002</v>
      </c>
      <c r="C8" s="59">
        <f t="shared" ref="C8:G8" si="0">SUM(C9:C17)</f>
        <v>553300140.79967999</v>
      </c>
      <c r="D8" s="59">
        <f t="shared" si="0"/>
        <v>573274275.88254845</v>
      </c>
      <c r="E8" s="59">
        <f t="shared" si="0"/>
        <v>593969477.24190843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446</v>
      </c>
      <c r="B9" s="60">
        <v>288843670.48000002</v>
      </c>
      <c r="C9" s="60">
        <f>B9*1.041</f>
        <v>300686260.96968001</v>
      </c>
      <c r="D9" s="60">
        <f>C9*1.0361</f>
        <v>311541034.99068546</v>
      </c>
      <c r="E9" s="60">
        <f>D9*1.0361</f>
        <v>322787666.35384923</v>
      </c>
      <c r="F9" s="60">
        <v>0</v>
      </c>
      <c r="G9" s="60">
        <v>0</v>
      </c>
    </row>
    <row r="10" spans="1:7" x14ac:dyDescent="0.3">
      <c r="A10" s="53" t="s">
        <v>447</v>
      </c>
      <c r="B10" s="60">
        <v>53846704</v>
      </c>
      <c r="C10" s="60">
        <f t="shared" ref="C10:C17" si="1">B10*1.041</f>
        <v>56054418.863999993</v>
      </c>
      <c r="D10" s="60">
        <f t="shared" ref="D10:E17" si="2">C10*1.0361</f>
        <v>58077983.384990394</v>
      </c>
      <c r="E10" s="60">
        <f t="shared" si="2"/>
        <v>60174598.585188545</v>
      </c>
      <c r="F10" s="60">
        <v>0</v>
      </c>
      <c r="G10" s="60">
        <v>0</v>
      </c>
    </row>
    <row r="11" spans="1:7" x14ac:dyDescent="0.3">
      <c r="A11" s="53" t="s">
        <v>448</v>
      </c>
      <c r="B11" s="60">
        <v>90744368</v>
      </c>
      <c r="C11" s="60">
        <f t="shared" si="1"/>
        <v>94464887.088</v>
      </c>
      <c r="D11" s="60">
        <f t="shared" si="2"/>
        <v>97875069.511876807</v>
      </c>
      <c r="E11" s="60">
        <f t="shared" si="2"/>
        <v>101408359.52125557</v>
      </c>
      <c r="F11" s="60">
        <v>0</v>
      </c>
      <c r="G11" s="60">
        <v>0</v>
      </c>
    </row>
    <row r="12" spans="1:7" x14ac:dyDescent="0.3">
      <c r="A12" s="53" t="s">
        <v>449</v>
      </c>
      <c r="B12" s="60">
        <v>44129263</v>
      </c>
      <c r="C12" s="60">
        <f t="shared" si="1"/>
        <v>45938562.783</v>
      </c>
      <c r="D12" s="60">
        <f t="shared" si="2"/>
        <v>47596944.899466299</v>
      </c>
      <c r="E12" s="60">
        <f t="shared" si="2"/>
        <v>49315194.610337034</v>
      </c>
      <c r="F12" s="60">
        <v>0</v>
      </c>
      <c r="G12" s="60">
        <v>0</v>
      </c>
    </row>
    <row r="13" spans="1:7" x14ac:dyDescent="0.3">
      <c r="A13" s="53" t="s">
        <v>450</v>
      </c>
      <c r="B13" s="60">
        <v>0</v>
      </c>
      <c r="C13" s="60">
        <f t="shared" si="1"/>
        <v>0</v>
      </c>
      <c r="D13" s="60">
        <f t="shared" si="2"/>
        <v>0</v>
      </c>
      <c r="E13" s="60">
        <f t="shared" si="2"/>
        <v>0</v>
      </c>
      <c r="F13" s="60">
        <v>0</v>
      </c>
      <c r="G13" s="60">
        <v>0</v>
      </c>
    </row>
    <row r="14" spans="1:7" x14ac:dyDescent="0.3">
      <c r="A14" s="53" t="s">
        <v>451</v>
      </c>
      <c r="B14" s="60">
        <v>41496093</v>
      </c>
      <c r="C14" s="60">
        <f t="shared" si="1"/>
        <v>43197432.812999994</v>
      </c>
      <c r="D14" s="60">
        <f t="shared" si="2"/>
        <v>44756860.137549296</v>
      </c>
      <c r="E14" s="60">
        <f t="shared" si="2"/>
        <v>46372582.78851483</v>
      </c>
      <c r="F14" s="60">
        <v>0</v>
      </c>
      <c r="G14" s="60">
        <v>0</v>
      </c>
    </row>
    <row r="15" spans="1:7" x14ac:dyDescent="0.3">
      <c r="A15" s="53" t="s">
        <v>452</v>
      </c>
      <c r="B15" s="60">
        <v>1500000</v>
      </c>
      <c r="C15" s="60">
        <f t="shared" si="1"/>
        <v>1561500</v>
      </c>
      <c r="D15" s="60">
        <f t="shared" si="2"/>
        <v>1617870.1500000001</v>
      </c>
      <c r="E15" s="60">
        <f t="shared" si="2"/>
        <v>1676275.2624150002</v>
      </c>
      <c r="F15" s="60">
        <v>0</v>
      </c>
      <c r="G15" s="60">
        <v>0</v>
      </c>
    </row>
    <row r="16" spans="1:7" x14ac:dyDescent="0.3">
      <c r="A16" s="53" t="s">
        <v>453</v>
      </c>
      <c r="B16" s="60">
        <v>6361382</v>
      </c>
      <c r="C16" s="60">
        <f t="shared" si="1"/>
        <v>6622198.6619999995</v>
      </c>
      <c r="D16" s="60">
        <f t="shared" si="2"/>
        <v>6861260.0336981993</v>
      </c>
      <c r="E16" s="60">
        <f t="shared" si="2"/>
        <v>7108951.5209147045</v>
      </c>
      <c r="F16" s="60">
        <v>0</v>
      </c>
      <c r="G16" s="60">
        <v>0</v>
      </c>
    </row>
    <row r="17" spans="1:7" x14ac:dyDescent="0.3">
      <c r="A17" s="53" t="s">
        <v>454</v>
      </c>
      <c r="B17" s="60">
        <v>4586820</v>
      </c>
      <c r="C17" s="60">
        <f t="shared" si="1"/>
        <v>4774879.62</v>
      </c>
      <c r="D17" s="60">
        <f t="shared" si="2"/>
        <v>4947252.774282</v>
      </c>
      <c r="E17" s="60">
        <f t="shared" si="2"/>
        <v>5125848.5994335804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455</v>
      </c>
      <c r="B19" s="61">
        <f>SUM(B20:B28)</f>
        <v>179419362.36000001</v>
      </c>
      <c r="C19" s="61">
        <f t="shared" ref="C19:G19" si="3">SUM(C20:C28)</f>
        <v>186775556.21675998</v>
      </c>
      <c r="D19" s="61">
        <f t="shared" si="3"/>
        <v>193518153.79618502</v>
      </c>
      <c r="E19" s="61">
        <f t="shared" si="3"/>
        <v>200504159.1482273</v>
      </c>
      <c r="F19" s="61">
        <f t="shared" si="3"/>
        <v>0</v>
      </c>
      <c r="G19" s="61">
        <f t="shared" si="3"/>
        <v>0</v>
      </c>
    </row>
    <row r="20" spans="1:7" x14ac:dyDescent="0.3">
      <c r="A20" s="53" t="s">
        <v>446</v>
      </c>
      <c r="B20" s="60">
        <v>118860794.31</v>
      </c>
      <c r="C20" s="60">
        <f t="shared" ref="C20:C28" si="4">B20*1.041</f>
        <v>123734086.87671</v>
      </c>
      <c r="D20" s="60">
        <f t="shared" ref="D20:E28" si="5">C20*1.0361</f>
        <v>128200887.41295923</v>
      </c>
      <c r="E20" s="60">
        <f t="shared" si="5"/>
        <v>132828939.44856706</v>
      </c>
      <c r="F20" s="60">
        <v>0</v>
      </c>
      <c r="G20" s="60">
        <v>0</v>
      </c>
    </row>
    <row r="21" spans="1:7" x14ac:dyDescent="0.3">
      <c r="A21" s="53" t="s">
        <v>447</v>
      </c>
      <c r="B21" s="60">
        <v>622215</v>
      </c>
      <c r="C21" s="60">
        <f t="shared" si="4"/>
        <v>647725.81499999994</v>
      </c>
      <c r="D21" s="60">
        <f t="shared" si="5"/>
        <v>671108.71692149993</v>
      </c>
      <c r="E21" s="60">
        <f t="shared" si="5"/>
        <v>695335.74160236609</v>
      </c>
      <c r="F21" s="60">
        <v>0</v>
      </c>
      <c r="G21" s="60">
        <v>0</v>
      </c>
    </row>
    <row r="22" spans="1:7" x14ac:dyDescent="0.3">
      <c r="A22" s="53" t="s">
        <v>448</v>
      </c>
      <c r="B22" s="60">
        <v>0</v>
      </c>
      <c r="C22" s="60">
        <f t="shared" si="4"/>
        <v>0</v>
      </c>
      <c r="D22" s="60">
        <f t="shared" si="5"/>
        <v>0</v>
      </c>
      <c r="E22" s="60">
        <f t="shared" si="5"/>
        <v>0</v>
      </c>
      <c r="F22" s="60">
        <v>0</v>
      </c>
      <c r="G22" s="60">
        <v>0</v>
      </c>
    </row>
    <row r="23" spans="1:7" x14ac:dyDescent="0.3">
      <c r="A23" s="53" t="s">
        <v>449</v>
      </c>
      <c r="B23" s="60">
        <v>2900049</v>
      </c>
      <c r="C23" s="60">
        <f t="shared" si="4"/>
        <v>3018951.0089999996</v>
      </c>
      <c r="D23" s="60">
        <f t="shared" si="5"/>
        <v>3127935.1404248998</v>
      </c>
      <c r="E23" s="60">
        <f t="shared" si="5"/>
        <v>3240853.5989942388</v>
      </c>
      <c r="F23" s="60">
        <v>0</v>
      </c>
      <c r="G23" s="60">
        <v>0</v>
      </c>
    </row>
    <row r="24" spans="1:7" x14ac:dyDescent="0.3">
      <c r="A24" s="53" t="s">
        <v>450</v>
      </c>
      <c r="B24" s="60">
        <v>0</v>
      </c>
      <c r="C24" s="60">
        <f t="shared" si="4"/>
        <v>0</v>
      </c>
      <c r="D24" s="60">
        <f t="shared" si="5"/>
        <v>0</v>
      </c>
      <c r="E24" s="60">
        <f t="shared" si="5"/>
        <v>0</v>
      </c>
      <c r="F24" s="60">
        <v>0</v>
      </c>
      <c r="G24" s="60">
        <v>0</v>
      </c>
    </row>
    <row r="25" spans="1:7" x14ac:dyDescent="0.3">
      <c r="A25" s="53" t="s">
        <v>451</v>
      </c>
      <c r="B25" s="60">
        <v>47962000.049999997</v>
      </c>
      <c r="C25" s="60">
        <f t="shared" si="4"/>
        <v>49928442.052049994</v>
      </c>
      <c r="D25" s="60">
        <f t="shared" si="5"/>
        <v>51730858.810129002</v>
      </c>
      <c r="E25" s="60">
        <f t="shared" si="5"/>
        <v>53598342.813174658</v>
      </c>
      <c r="F25" s="60">
        <v>0</v>
      </c>
      <c r="G25" s="60">
        <v>0</v>
      </c>
    </row>
    <row r="26" spans="1:7" x14ac:dyDescent="0.3">
      <c r="A26" s="53" t="s">
        <v>452</v>
      </c>
      <c r="B26" s="60">
        <v>0</v>
      </c>
      <c r="C26" s="60">
        <f t="shared" si="4"/>
        <v>0</v>
      </c>
      <c r="D26" s="60">
        <f t="shared" si="5"/>
        <v>0</v>
      </c>
      <c r="E26" s="60">
        <f t="shared" si="5"/>
        <v>0</v>
      </c>
      <c r="F26" s="60">
        <v>0</v>
      </c>
      <c r="G26" s="60">
        <v>0</v>
      </c>
    </row>
    <row r="27" spans="1:7" x14ac:dyDescent="0.3">
      <c r="A27" s="53" t="s">
        <v>456</v>
      </c>
      <c r="B27" s="60">
        <v>0</v>
      </c>
      <c r="C27" s="60">
        <f t="shared" si="4"/>
        <v>0</v>
      </c>
      <c r="D27" s="60">
        <f t="shared" si="5"/>
        <v>0</v>
      </c>
      <c r="E27" s="60">
        <f t="shared" si="5"/>
        <v>0</v>
      </c>
      <c r="F27" s="60">
        <v>0</v>
      </c>
      <c r="G27" s="60">
        <v>0</v>
      </c>
    </row>
    <row r="28" spans="1:7" x14ac:dyDescent="0.3">
      <c r="A28" s="53" t="s">
        <v>454</v>
      </c>
      <c r="B28" s="60">
        <v>9074304</v>
      </c>
      <c r="C28" s="60">
        <f t="shared" si="4"/>
        <v>9446350.4639999997</v>
      </c>
      <c r="D28" s="60">
        <f t="shared" si="5"/>
        <v>9787363.7157504</v>
      </c>
      <c r="E28" s="60">
        <f t="shared" si="5"/>
        <v>10140687.54588899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457</v>
      </c>
      <c r="B30" s="61">
        <f>B8+B19</f>
        <v>710927662.84000003</v>
      </c>
      <c r="C30" s="61">
        <f t="shared" ref="C30:G30" si="6">C8+C19</f>
        <v>740075697.01643991</v>
      </c>
      <c r="D30" s="61">
        <f t="shared" si="6"/>
        <v>766792429.67873347</v>
      </c>
      <c r="E30" s="61">
        <f t="shared" si="6"/>
        <v>794473636.39013577</v>
      </c>
      <c r="F30" s="61">
        <f t="shared" si="6"/>
        <v>0</v>
      </c>
      <c r="G30" s="61">
        <f t="shared" si="6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531508300.48000002</v>
      </c>
      <c r="Q2" s="18">
        <f>'Formato 7 b)'!C8</f>
        <v>553300140.79967999</v>
      </c>
      <c r="R2" s="18">
        <f>'Formato 7 b)'!D8</f>
        <v>573274275.88254845</v>
      </c>
      <c r="S2" s="18">
        <f>'Formato 7 b)'!E8</f>
        <v>593969477.24190843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288843670.48000002</v>
      </c>
      <c r="Q3" s="18">
        <f>'Formato 7 b)'!C9</f>
        <v>300686260.96968001</v>
      </c>
      <c r="R3" s="18">
        <f>'Formato 7 b)'!D9</f>
        <v>311541034.99068546</v>
      </c>
      <c r="S3" s="18">
        <f>'Formato 7 b)'!E9</f>
        <v>322787666.35384923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53846704</v>
      </c>
      <c r="Q4" s="18">
        <f>'Formato 7 b)'!C10</f>
        <v>56054418.863999993</v>
      </c>
      <c r="R4" s="18">
        <f>'Formato 7 b)'!D10</f>
        <v>58077983.384990394</v>
      </c>
      <c r="S4" s="18">
        <f>'Formato 7 b)'!E10</f>
        <v>60174598.585188545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90744368</v>
      </c>
      <c r="Q5" s="18">
        <f>'Formato 7 b)'!C11</f>
        <v>94464887.088</v>
      </c>
      <c r="R5" s="18">
        <f>'Formato 7 b)'!D11</f>
        <v>97875069.511876807</v>
      </c>
      <c r="S5" s="18">
        <f>'Formato 7 b)'!E11</f>
        <v>101408359.52125557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44129263</v>
      </c>
      <c r="Q6" s="18">
        <f>'Formato 7 b)'!C12</f>
        <v>45938562.783</v>
      </c>
      <c r="R6" s="18">
        <f>'Formato 7 b)'!D12</f>
        <v>47596944.899466299</v>
      </c>
      <c r="S6" s="18">
        <f>'Formato 7 b)'!E12</f>
        <v>49315194.610337034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41496093</v>
      </c>
      <c r="Q8" s="18">
        <f>'Formato 7 b)'!C14</f>
        <v>43197432.812999994</v>
      </c>
      <c r="R8" s="18">
        <f>'Formato 7 b)'!D14</f>
        <v>44756860.137549296</v>
      </c>
      <c r="S8" s="18">
        <f>'Formato 7 b)'!E14</f>
        <v>46372582.78851483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1500000</v>
      </c>
      <c r="Q9" s="18">
        <f>'Formato 7 b)'!C15</f>
        <v>1561500</v>
      </c>
      <c r="R9" s="18">
        <f>'Formato 7 b)'!D15</f>
        <v>1617870.1500000001</v>
      </c>
      <c r="S9" s="18">
        <f>'Formato 7 b)'!E15</f>
        <v>1676275.2624150002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6361382</v>
      </c>
      <c r="Q10" s="18">
        <f>'Formato 7 b)'!C16</f>
        <v>6622198.6619999995</v>
      </c>
      <c r="R10" s="18">
        <f>'Formato 7 b)'!D16</f>
        <v>6861260.0336981993</v>
      </c>
      <c r="S10" s="18">
        <f>'Formato 7 b)'!E16</f>
        <v>7108951.5209147045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4586820</v>
      </c>
      <c r="Q11" s="18">
        <f>'Formato 7 b)'!C17</f>
        <v>4774879.62</v>
      </c>
      <c r="R11" s="18">
        <f>'Formato 7 b)'!D17</f>
        <v>4947252.774282</v>
      </c>
      <c r="S11" s="18">
        <f>'Formato 7 b)'!E17</f>
        <v>5125848.5994335804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179419362.36000001</v>
      </c>
      <c r="Q12" s="18">
        <f>'Formato 7 b)'!C19</f>
        <v>186775556.21675998</v>
      </c>
      <c r="R12" s="18">
        <f>'Formato 7 b)'!D19</f>
        <v>193518153.79618502</v>
      </c>
      <c r="S12" s="18">
        <f>'Formato 7 b)'!E19</f>
        <v>200504159.1482273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118860794.31</v>
      </c>
      <c r="Q13" s="18">
        <f>'Formato 7 b)'!C20</f>
        <v>123734086.87671</v>
      </c>
      <c r="R13" s="18">
        <f>'Formato 7 b)'!D20</f>
        <v>128200887.41295923</v>
      </c>
      <c r="S13" s="18">
        <f>'Formato 7 b)'!E20</f>
        <v>132828939.44856706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622215</v>
      </c>
      <c r="Q14" s="18">
        <f>'Formato 7 b)'!C21</f>
        <v>647725.81499999994</v>
      </c>
      <c r="R14" s="18">
        <f>'Formato 7 b)'!D21</f>
        <v>671108.71692149993</v>
      </c>
      <c r="S14" s="18">
        <f>'Formato 7 b)'!E21</f>
        <v>695335.74160236609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2900049</v>
      </c>
      <c r="Q16" s="18">
        <f>'Formato 7 b)'!C23</f>
        <v>3018951.0089999996</v>
      </c>
      <c r="R16" s="18">
        <f>'Formato 7 b)'!D23</f>
        <v>3127935.1404248998</v>
      </c>
      <c r="S16" s="18">
        <f>'Formato 7 b)'!E23</f>
        <v>3240853.5989942388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47962000.049999997</v>
      </c>
      <c r="Q18" s="18">
        <f>'Formato 7 b)'!C25</f>
        <v>49928442.052049994</v>
      </c>
      <c r="R18" s="18">
        <f>'Formato 7 b)'!D25</f>
        <v>51730858.810129002</v>
      </c>
      <c r="S18" s="18">
        <f>'Formato 7 b)'!E25</f>
        <v>53598342.813174658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9074304</v>
      </c>
      <c r="Q21" s="18">
        <f>'Formato 7 b)'!C28</f>
        <v>9446350.4639999997</v>
      </c>
      <c r="R21" s="18">
        <f>'Formato 7 b)'!D28</f>
        <v>9787363.7157504</v>
      </c>
      <c r="S21" s="18">
        <f>'Formato 7 b)'!E28</f>
        <v>10140687.54588899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710927662.84000003</v>
      </c>
      <c r="Q22" s="18">
        <f>'Formato 7 b)'!C30</f>
        <v>740075697.01643991</v>
      </c>
      <c r="R22" s="18">
        <f>'Formato 7 b)'!D30</f>
        <v>766792429.67873347</v>
      </c>
      <c r="S22" s="18">
        <f>'Formato 7 b)'!E30</f>
        <v>794473636.39013577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6" zoomScale="90" zoomScaleNormal="90" workbookViewId="0">
      <selection activeCell="G35" sqref="G35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206" t="s">
        <v>458</v>
      </c>
      <c r="B1" s="206"/>
      <c r="C1" s="206"/>
      <c r="D1" s="206"/>
      <c r="E1" s="206"/>
      <c r="F1" s="206"/>
      <c r="G1" s="206"/>
    </row>
    <row r="2" spans="1:7" x14ac:dyDescent="0.3">
      <c r="A2" s="188" t="str">
        <f>ENTIDAD</f>
        <v>Municipio de Guanajuato, Gobierno del Estado de Guanajuato</v>
      </c>
      <c r="B2" s="189"/>
      <c r="C2" s="189"/>
      <c r="D2" s="189"/>
      <c r="E2" s="189"/>
      <c r="F2" s="189"/>
      <c r="G2" s="190"/>
    </row>
    <row r="3" spans="1:7" x14ac:dyDescent="0.3">
      <c r="A3" s="191" t="s">
        <v>459</v>
      </c>
      <c r="B3" s="192"/>
      <c r="C3" s="192"/>
      <c r="D3" s="192"/>
      <c r="E3" s="192"/>
      <c r="F3" s="192"/>
      <c r="G3" s="193"/>
    </row>
    <row r="4" spans="1:7" x14ac:dyDescent="0.3">
      <c r="A4" s="197" t="s">
        <v>118</v>
      </c>
      <c r="B4" s="198"/>
      <c r="C4" s="198"/>
      <c r="D4" s="198"/>
      <c r="E4" s="198"/>
      <c r="F4" s="198"/>
      <c r="G4" s="199"/>
    </row>
    <row r="5" spans="1:7" x14ac:dyDescent="0.3">
      <c r="A5" s="223" t="s">
        <v>3281</v>
      </c>
      <c r="B5" s="221" t="str">
        <f>ANIO5R</f>
        <v>2016 ¹ (c)</v>
      </c>
      <c r="C5" s="221" t="str">
        <f>ANIO4R</f>
        <v>2017 ¹ (c)</v>
      </c>
      <c r="D5" s="221" t="str">
        <f>ANIO3R</f>
        <v>2018 ¹ (c)</v>
      </c>
      <c r="E5" s="221" t="str">
        <f>ANIO2R</f>
        <v>2019 ¹ (c)</v>
      </c>
      <c r="F5" s="221" t="str">
        <f>ANIO1R</f>
        <v>2020 ¹ (c)</v>
      </c>
      <c r="G5" s="51">
        <f>ANIO_INFORME</f>
        <v>2021</v>
      </c>
    </row>
    <row r="6" spans="1:7" ht="32.1" customHeight="1" x14ac:dyDescent="0.3">
      <c r="A6" s="224"/>
      <c r="B6" s="222"/>
      <c r="C6" s="222"/>
      <c r="D6" s="222"/>
      <c r="E6" s="222"/>
      <c r="F6" s="222"/>
      <c r="G6" s="88" t="s">
        <v>3287</v>
      </c>
    </row>
    <row r="7" spans="1:7" x14ac:dyDescent="0.3">
      <c r="A7" s="52" t="s">
        <v>460</v>
      </c>
      <c r="B7" s="59">
        <f>SUM(B8:B19)</f>
        <v>0</v>
      </c>
      <c r="C7" s="59">
        <f t="shared" ref="C7:G7" si="0">SUM(C8:C19)</f>
        <v>0</v>
      </c>
      <c r="D7" s="59">
        <f t="shared" si="0"/>
        <v>491634128.63</v>
      </c>
      <c r="E7" s="59">
        <f t="shared" si="0"/>
        <v>515930423.13</v>
      </c>
      <c r="F7" s="59">
        <f t="shared" si="0"/>
        <v>497975385.01999998</v>
      </c>
      <c r="G7" s="59">
        <f t="shared" si="0"/>
        <v>606529257.70000005</v>
      </c>
    </row>
    <row r="8" spans="1:7" x14ac:dyDescent="0.3">
      <c r="A8" s="53" t="s">
        <v>461</v>
      </c>
      <c r="B8" s="60">
        <v>0</v>
      </c>
      <c r="C8" s="60">
        <v>0</v>
      </c>
      <c r="D8" s="60">
        <v>76396300.040000007</v>
      </c>
      <c r="E8" s="60">
        <v>83938951.5</v>
      </c>
      <c r="F8" s="60">
        <v>86425645.299999997</v>
      </c>
      <c r="G8" s="60">
        <v>110054425.79000001</v>
      </c>
    </row>
    <row r="9" spans="1:7" x14ac:dyDescent="0.3">
      <c r="A9" s="53" t="s">
        <v>462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463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464</v>
      </c>
      <c r="B11" s="60">
        <v>0</v>
      </c>
      <c r="C11" s="60">
        <v>0</v>
      </c>
      <c r="D11" s="60">
        <v>48423171.969999999</v>
      </c>
      <c r="E11" s="60">
        <v>112924283.64</v>
      </c>
      <c r="F11" s="60">
        <v>78135657.159999996</v>
      </c>
      <c r="G11" s="60">
        <v>97594620.870000005</v>
      </c>
    </row>
    <row r="12" spans="1:7" x14ac:dyDescent="0.3">
      <c r="A12" s="53" t="s">
        <v>465</v>
      </c>
      <c r="B12" s="60">
        <v>0</v>
      </c>
      <c r="C12" s="60">
        <v>0</v>
      </c>
      <c r="D12" s="60">
        <v>94440853.129999995</v>
      </c>
      <c r="E12" s="60">
        <v>14497196.85</v>
      </c>
      <c r="F12" s="60">
        <v>9869492.3100000005</v>
      </c>
      <c r="G12" s="60">
        <f>8635059.54+859045.31</f>
        <v>9494104.8499999996</v>
      </c>
    </row>
    <row r="13" spans="1:7" x14ac:dyDescent="0.3">
      <c r="A13" s="56" t="s">
        <v>466</v>
      </c>
      <c r="B13" s="60">
        <v>0</v>
      </c>
      <c r="C13" s="60">
        <v>0</v>
      </c>
      <c r="D13" s="60">
        <v>18229465.27</v>
      </c>
      <c r="E13" s="60">
        <v>15640150.529999999</v>
      </c>
      <c r="F13" s="60">
        <v>18226552.140000001</v>
      </c>
      <c r="G13" s="60">
        <v>22186622.969999999</v>
      </c>
    </row>
    <row r="14" spans="1:7" x14ac:dyDescent="0.3">
      <c r="A14" s="53" t="s">
        <v>467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468</v>
      </c>
      <c r="B15" s="60">
        <v>0</v>
      </c>
      <c r="C15" s="60">
        <v>0</v>
      </c>
      <c r="D15" s="60">
        <v>254065338.22000003</v>
      </c>
      <c r="E15" s="60">
        <v>286699197.61000001</v>
      </c>
      <c r="F15" s="60">
        <v>295972433.56999999</v>
      </c>
      <c r="G15" s="60">
        <v>307966381.94</v>
      </c>
    </row>
    <row r="16" spans="1:7" x14ac:dyDescent="0.3">
      <c r="A16" s="53" t="s">
        <v>469</v>
      </c>
      <c r="B16" s="60">
        <v>0</v>
      </c>
      <c r="C16" s="60">
        <v>0</v>
      </c>
      <c r="D16" s="60">
        <v>0</v>
      </c>
      <c r="E16" s="60">
        <v>2230643</v>
      </c>
      <c r="F16" s="60">
        <v>1345604.54</v>
      </c>
      <c r="G16" s="60">
        <v>4102566.51</v>
      </c>
    </row>
    <row r="17" spans="1:7" x14ac:dyDescent="0.3">
      <c r="A17" s="53" t="s">
        <v>3291</v>
      </c>
      <c r="B17" s="60">
        <v>0</v>
      </c>
      <c r="C17" s="60">
        <v>0</v>
      </c>
      <c r="D17" s="60">
        <v>0</v>
      </c>
      <c r="E17" s="60">
        <v>0</v>
      </c>
      <c r="F17" s="60">
        <v>8000000</v>
      </c>
      <c r="G17" s="60">
        <v>0</v>
      </c>
    </row>
    <row r="18" spans="1:7" x14ac:dyDescent="0.3">
      <c r="A18" s="53" t="s">
        <v>470</v>
      </c>
      <c r="B18" s="60">
        <v>0</v>
      </c>
      <c r="C18" s="60">
        <v>0</v>
      </c>
      <c r="D18" s="60">
        <v>79000</v>
      </c>
      <c r="E18" s="60">
        <v>0</v>
      </c>
      <c r="F18" s="60"/>
      <c r="G18" s="60">
        <v>55130534.770000003</v>
      </c>
    </row>
    <row r="19" spans="1:7" x14ac:dyDescent="0.3">
      <c r="A19" s="53" t="s">
        <v>471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477</v>
      </c>
      <c r="B21" s="61">
        <f>SUM(B22:B26)</f>
        <v>0</v>
      </c>
      <c r="C21" s="61">
        <f t="shared" ref="C21:F21" si="1">SUM(C22:C26)</f>
        <v>0</v>
      </c>
      <c r="D21" s="61">
        <f t="shared" si="1"/>
        <v>220394576.57999998</v>
      </c>
      <c r="E21" s="61">
        <f t="shared" si="1"/>
        <v>227867605.28999999</v>
      </c>
      <c r="F21" s="61">
        <f t="shared" si="1"/>
        <v>303850853.84000003</v>
      </c>
      <c r="G21" s="182">
        <f>SUM(G22:G26)</f>
        <v>172905857.61000001</v>
      </c>
    </row>
    <row r="22" spans="1:7" x14ac:dyDescent="0.3">
      <c r="A22" s="53" t="s">
        <v>472</v>
      </c>
      <c r="B22" s="60">
        <v>0</v>
      </c>
      <c r="C22" s="60">
        <v>0</v>
      </c>
      <c r="D22" s="60">
        <v>149005675.53999999</v>
      </c>
      <c r="E22" s="60">
        <v>168177305.19</v>
      </c>
      <c r="F22" s="60">
        <v>173201561</v>
      </c>
      <c r="G22" s="60">
        <v>170891238</v>
      </c>
    </row>
    <row r="23" spans="1:7" x14ac:dyDescent="0.3">
      <c r="A23" s="53" t="s">
        <v>473</v>
      </c>
      <c r="B23" s="60">
        <v>0</v>
      </c>
      <c r="C23" s="60">
        <v>0</v>
      </c>
      <c r="D23" s="60">
        <v>71388901.039999992</v>
      </c>
      <c r="E23" s="60">
        <v>59690300.099999994</v>
      </c>
      <c r="F23" s="60">
        <v>130649292.84</v>
      </c>
      <c r="G23" s="60">
        <v>2014619.61</v>
      </c>
    </row>
    <row r="24" spans="1:7" x14ac:dyDescent="0.3">
      <c r="A24" s="53" t="s">
        <v>474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475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476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478</v>
      </c>
      <c r="B28" s="61">
        <f>B29</f>
        <v>0</v>
      </c>
      <c r="C28" s="61">
        <f t="shared" ref="C28:G28" si="2">C29</f>
        <v>0</v>
      </c>
      <c r="D28" s="61">
        <f t="shared" si="2"/>
        <v>154654234.56999999</v>
      </c>
      <c r="E28" s="61">
        <f t="shared" si="2"/>
        <v>54283882.549999997</v>
      </c>
      <c r="F28" s="61">
        <f t="shared" si="2"/>
        <v>40497244.609999999</v>
      </c>
      <c r="G28" s="61">
        <f t="shared" si="2"/>
        <v>81134892.909999996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154654234.56999999</v>
      </c>
      <c r="E29" s="60">
        <v>54283882.549999997</v>
      </c>
      <c r="F29" s="60">
        <v>40497244.609999999</v>
      </c>
      <c r="G29" s="60">
        <v>81134892.909999996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479</v>
      </c>
      <c r="B31" s="61">
        <f>B7+B21+B28</f>
        <v>0</v>
      </c>
      <c r="C31" s="61">
        <f t="shared" ref="C31:G31" si="3">C7+C21+C28</f>
        <v>0</v>
      </c>
      <c r="D31" s="61">
        <f t="shared" si="3"/>
        <v>866682939.77999997</v>
      </c>
      <c r="E31" s="61">
        <f t="shared" si="3"/>
        <v>798081910.96999991</v>
      </c>
      <c r="F31" s="61">
        <f t="shared" si="3"/>
        <v>842323483.47000003</v>
      </c>
      <c r="G31" s="61">
        <f t="shared" si="3"/>
        <v>860570008.22000003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 x14ac:dyDescent="0.3">
      <c r="A35" s="57" t="s">
        <v>480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481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220" t="s">
        <v>3285</v>
      </c>
      <c r="B39" s="220"/>
      <c r="C39" s="220"/>
      <c r="D39" s="220"/>
      <c r="E39" s="220"/>
      <c r="F39" s="220"/>
      <c r="G39" s="220"/>
    </row>
    <row r="40" spans="1:7" ht="15" customHeight="1" x14ac:dyDescent="0.3">
      <c r="A40" s="220" t="s">
        <v>3286</v>
      </c>
      <c r="B40" s="220"/>
      <c r="C40" s="220"/>
      <c r="D40" s="220"/>
      <c r="E40" s="220"/>
      <c r="F40" s="220"/>
      <c r="G40" s="220"/>
    </row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491634128.63</v>
      </c>
      <c r="S2" s="18">
        <f>'Formato 7 c)'!E7</f>
        <v>515930423.13</v>
      </c>
      <c r="T2" s="18">
        <f>'Formato 7 c)'!F7</f>
        <v>497975385.01999998</v>
      </c>
      <c r="U2" s="18">
        <f>'Formato 7 c)'!G7</f>
        <v>606529257.70000005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76396300.040000007</v>
      </c>
      <c r="S3" s="18">
        <f>'Formato 7 c)'!E8</f>
        <v>83938951.5</v>
      </c>
      <c r="T3" s="18">
        <f>'Formato 7 c)'!F8</f>
        <v>86425645.299999997</v>
      </c>
      <c r="U3" s="18">
        <f>'Formato 7 c)'!G8</f>
        <v>110054425.79000001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48423171.969999999</v>
      </c>
      <c r="S6" s="18">
        <f>'Formato 7 c)'!E11</f>
        <v>112924283.64</v>
      </c>
      <c r="T6" s="18">
        <f>'Formato 7 c)'!F11</f>
        <v>78135657.159999996</v>
      </c>
      <c r="U6" s="18">
        <f>'Formato 7 c)'!G11</f>
        <v>97594620.870000005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94440853.129999995</v>
      </c>
      <c r="S7" s="18">
        <f>'Formato 7 c)'!E12</f>
        <v>14497196.85</v>
      </c>
      <c r="T7" s="18">
        <f>'Formato 7 c)'!F12</f>
        <v>9869492.3100000005</v>
      </c>
      <c r="U7" s="18">
        <f>'Formato 7 c)'!G12</f>
        <v>9494104.8499999996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18229465.27</v>
      </c>
      <c r="S8" s="18">
        <f>'Formato 7 c)'!E13</f>
        <v>15640150.529999999</v>
      </c>
      <c r="T8" s="18">
        <f>'Formato 7 c)'!F13</f>
        <v>18226552.140000001</v>
      </c>
      <c r="U8" s="18">
        <f>'Formato 7 c)'!G13</f>
        <v>22186622.969999999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254065338.22000003</v>
      </c>
      <c r="S10" s="18">
        <f>'Formato 7 c)'!E15</f>
        <v>286699197.61000001</v>
      </c>
      <c r="T10" s="18">
        <f>'Formato 7 c)'!F15</f>
        <v>295972433.56999999</v>
      </c>
      <c r="U10" s="18">
        <f>'Formato 7 c)'!G15</f>
        <v>307966381.94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2230643</v>
      </c>
      <c r="T11" s="18">
        <f>'Formato 7 c)'!F16</f>
        <v>1345604.54</v>
      </c>
      <c r="U11" s="18">
        <f>'Formato 7 c)'!G16</f>
        <v>4102566.51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8000000</v>
      </c>
      <c r="U12" s="18">
        <f>'Formato 7 c)'!G17</f>
        <v>0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79000</v>
      </c>
      <c r="S13" s="18">
        <f>'Formato 7 c)'!E18</f>
        <v>0</v>
      </c>
      <c r="T13" s="18">
        <f>'Formato 7 c)'!F18</f>
        <v>0</v>
      </c>
      <c r="U13" s="18">
        <f>'Formato 7 c)'!G18</f>
        <v>55130534.770000003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220394576.57999998</v>
      </c>
      <c r="S15" s="18">
        <f>'Formato 7 c)'!E21</f>
        <v>227867605.28999999</v>
      </c>
      <c r="T15" s="18">
        <f>'Formato 7 c)'!F21</f>
        <v>303850853.84000003</v>
      </c>
      <c r="U15" s="18">
        <f>'Formato 7 c)'!G21</f>
        <v>172905857.61000001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149005675.53999999</v>
      </c>
      <c r="S16" s="18">
        <f>'Formato 7 c)'!E22</f>
        <v>168177305.19</v>
      </c>
      <c r="T16" s="18">
        <f>'Formato 7 c)'!F22</f>
        <v>173201561</v>
      </c>
      <c r="U16" s="18">
        <f>'Formato 7 c)'!G22</f>
        <v>170891238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71388901.039999992</v>
      </c>
      <c r="S17" s="18">
        <f>'Formato 7 c)'!E23</f>
        <v>59690300.099999994</v>
      </c>
      <c r="T17" s="18">
        <f>'Formato 7 c)'!F23</f>
        <v>130649292.84</v>
      </c>
      <c r="U17" s="18">
        <f>'Formato 7 c)'!G23</f>
        <v>2014619.61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154654234.56999999</v>
      </c>
      <c r="S21" s="18">
        <f>'Formato 7 c)'!E28</f>
        <v>54283882.549999997</v>
      </c>
      <c r="T21" s="18">
        <f>'Formato 7 c)'!F28</f>
        <v>40497244.609999999</v>
      </c>
      <c r="U21" s="18">
        <f>'Formato 7 c)'!G28</f>
        <v>81134892.909999996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154654234.56999999</v>
      </c>
      <c r="S22" s="18">
        <f>'Formato 7 c)'!E29</f>
        <v>54283882.549999997</v>
      </c>
      <c r="T22" s="18">
        <f>'Formato 7 c)'!F29</f>
        <v>40497244.609999999</v>
      </c>
      <c r="U22" s="18">
        <f>'Formato 7 c)'!G29</f>
        <v>81134892.909999996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866682939.77999997</v>
      </c>
      <c r="S23" s="18">
        <f>'Formato 7 c)'!E31</f>
        <v>798081910.96999991</v>
      </c>
      <c r="T23" s="18">
        <f>'Formato 7 c)'!F31</f>
        <v>842323483.47000003</v>
      </c>
      <c r="U23" s="18">
        <f>'Formato 7 c)'!G31</f>
        <v>860570008.22000003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A32" sqref="A32:G32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206" t="s">
        <v>482</v>
      </c>
      <c r="B1" s="206"/>
      <c r="C1" s="206"/>
      <c r="D1" s="206"/>
      <c r="E1" s="206"/>
      <c r="F1" s="206"/>
      <c r="G1" s="206"/>
    </row>
    <row r="2" spans="1:7" x14ac:dyDescent="0.3">
      <c r="A2" s="188" t="str">
        <f>ENTIDAD</f>
        <v>Municipio de Guanajuato, Gobierno del Estado de Guanajuato</v>
      </c>
      <c r="B2" s="189"/>
      <c r="C2" s="189"/>
      <c r="D2" s="189"/>
      <c r="E2" s="189"/>
      <c r="F2" s="189"/>
      <c r="G2" s="190"/>
    </row>
    <row r="3" spans="1:7" x14ac:dyDescent="0.3">
      <c r="A3" s="191" t="s">
        <v>483</v>
      </c>
      <c r="B3" s="192"/>
      <c r="C3" s="192"/>
      <c r="D3" s="192"/>
      <c r="E3" s="192"/>
      <c r="F3" s="192"/>
      <c r="G3" s="193"/>
    </row>
    <row r="4" spans="1:7" x14ac:dyDescent="0.3">
      <c r="A4" s="197" t="s">
        <v>118</v>
      </c>
      <c r="B4" s="198"/>
      <c r="C4" s="198"/>
      <c r="D4" s="198"/>
      <c r="E4" s="198"/>
      <c r="F4" s="198"/>
      <c r="G4" s="199"/>
    </row>
    <row r="5" spans="1:7" x14ac:dyDescent="0.3">
      <c r="A5" s="225" t="s">
        <v>3134</v>
      </c>
      <c r="B5" s="221" t="str">
        <f>ANIO5R</f>
        <v>2016 ¹ (c)</v>
      </c>
      <c r="C5" s="221" t="str">
        <f>ANIO4R</f>
        <v>2017 ¹ (c)</v>
      </c>
      <c r="D5" s="221" t="str">
        <f>ANIO3R</f>
        <v>2018 ¹ (c)</v>
      </c>
      <c r="E5" s="221" t="str">
        <f>ANIO2R</f>
        <v>2019 ¹ (c)</v>
      </c>
      <c r="F5" s="221" t="str">
        <f>ANIO1R</f>
        <v>2020 ¹ (c)</v>
      </c>
      <c r="G5" s="51">
        <f>ANIO_INFORME</f>
        <v>2021</v>
      </c>
    </row>
    <row r="6" spans="1:7" ht="32.1" customHeight="1" x14ac:dyDescent="0.3">
      <c r="A6" s="226"/>
      <c r="B6" s="222"/>
      <c r="C6" s="222"/>
      <c r="D6" s="222"/>
      <c r="E6" s="222"/>
      <c r="F6" s="222"/>
      <c r="G6" s="88" t="s">
        <v>3288</v>
      </c>
    </row>
    <row r="7" spans="1:7" x14ac:dyDescent="0.3">
      <c r="A7" s="52" t="s">
        <v>484</v>
      </c>
      <c r="B7" s="59">
        <f>SUM(B8:B16)</f>
        <v>0</v>
      </c>
      <c r="C7" s="59">
        <f t="shared" ref="C7:G7" si="0">SUM(C8:C16)</f>
        <v>0</v>
      </c>
      <c r="D7" s="59">
        <f t="shared" si="0"/>
        <v>434665326.90000004</v>
      </c>
      <c r="E7" s="59">
        <f t="shared" si="0"/>
        <v>514034786.20000005</v>
      </c>
      <c r="F7" s="59">
        <f t="shared" si="0"/>
        <v>510730056.05000007</v>
      </c>
      <c r="G7" s="59">
        <f t="shared" si="0"/>
        <v>527397440.0999999</v>
      </c>
    </row>
    <row r="8" spans="1:7" x14ac:dyDescent="0.3">
      <c r="A8" s="53" t="s">
        <v>446</v>
      </c>
      <c r="B8" s="60">
        <v>0</v>
      </c>
      <c r="C8" s="60">
        <v>0</v>
      </c>
      <c r="D8" s="60">
        <v>218149622.59999999</v>
      </c>
      <c r="E8" s="60">
        <v>279093224.30000001</v>
      </c>
      <c r="F8" s="60">
        <v>294590050.10000002</v>
      </c>
      <c r="G8" s="60">
        <v>311205290.13999999</v>
      </c>
    </row>
    <row r="9" spans="1:7" x14ac:dyDescent="0.3">
      <c r="A9" s="53" t="s">
        <v>447</v>
      </c>
      <c r="B9" s="60">
        <v>0</v>
      </c>
      <c r="C9" s="60">
        <v>0</v>
      </c>
      <c r="D9" s="60">
        <v>39182210.329999998</v>
      </c>
      <c r="E9" s="60">
        <v>49461114.93</v>
      </c>
      <c r="F9" s="60">
        <v>46928789.700000003</v>
      </c>
      <c r="G9" s="60">
        <v>51467841.990000002</v>
      </c>
    </row>
    <row r="10" spans="1:7" x14ac:dyDescent="0.3">
      <c r="A10" s="53" t="s">
        <v>448</v>
      </c>
      <c r="B10" s="60">
        <v>0</v>
      </c>
      <c r="C10" s="60">
        <v>0</v>
      </c>
      <c r="D10" s="60">
        <v>103803365.3</v>
      </c>
      <c r="E10" s="60">
        <v>93620347.090000004</v>
      </c>
      <c r="F10" s="60">
        <v>74767064.900000006</v>
      </c>
      <c r="G10" s="60">
        <v>99022811.809999973</v>
      </c>
    </row>
    <row r="11" spans="1:7" x14ac:dyDescent="0.3">
      <c r="A11" s="53" t="s">
        <v>449</v>
      </c>
      <c r="B11" s="60">
        <v>0</v>
      </c>
      <c r="C11" s="60">
        <v>0</v>
      </c>
      <c r="D11" s="60">
        <v>31570427.609999999</v>
      </c>
      <c r="E11" s="60">
        <v>46434321.25</v>
      </c>
      <c r="F11" s="60">
        <v>47525436.68</v>
      </c>
      <c r="G11" s="60">
        <v>40070031.850000001</v>
      </c>
    </row>
    <row r="12" spans="1:7" x14ac:dyDescent="0.3">
      <c r="A12" s="53" t="s">
        <v>450</v>
      </c>
      <c r="B12" s="60">
        <v>0</v>
      </c>
      <c r="C12" s="60">
        <v>0</v>
      </c>
      <c r="D12" s="60">
        <v>27568650.800000001</v>
      </c>
      <c r="E12" s="60">
        <v>21617364.940000001</v>
      </c>
      <c r="F12" s="60">
        <v>3203317.26</v>
      </c>
      <c r="G12" s="60">
        <v>2058635.45</v>
      </c>
    </row>
    <row r="13" spans="1:7" x14ac:dyDescent="0.3">
      <c r="A13" s="53" t="s">
        <v>451</v>
      </c>
      <c r="B13" s="60">
        <v>0</v>
      </c>
      <c r="C13" s="60">
        <v>0</v>
      </c>
      <c r="D13" s="60">
        <v>12592373.26</v>
      </c>
      <c r="E13" s="60">
        <v>17127450.84</v>
      </c>
      <c r="F13" s="60">
        <v>39790397.409999996</v>
      </c>
      <c r="G13" s="60">
        <v>20835957.830000002</v>
      </c>
    </row>
    <row r="14" spans="1:7" x14ac:dyDescent="0.3">
      <c r="A14" s="53" t="s">
        <v>452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453</v>
      </c>
      <c r="B15" s="60">
        <v>0</v>
      </c>
      <c r="C15" s="60">
        <v>0</v>
      </c>
      <c r="D15" s="60">
        <v>1798677</v>
      </c>
      <c r="E15" s="60">
        <v>6680962.8499999996</v>
      </c>
      <c r="F15" s="60">
        <v>3925000</v>
      </c>
      <c r="G15" s="60">
        <v>2736871.03</v>
      </c>
    </row>
    <row r="16" spans="1:7" x14ac:dyDescent="0.3">
      <c r="A16" s="53" t="s">
        <v>454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485</v>
      </c>
      <c r="B18" s="61">
        <f>SUM(B19:B27)</f>
        <v>0</v>
      </c>
      <c r="C18" s="61">
        <f t="shared" ref="C18:G18" si="1">SUM(C19:C27)</f>
        <v>0</v>
      </c>
      <c r="D18" s="61">
        <f t="shared" si="1"/>
        <v>196019196.55000001</v>
      </c>
      <c r="E18" s="61">
        <f t="shared" si="1"/>
        <v>242195771.77000001</v>
      </c>
      <c r="F18" s="61">
        <f t="shared" si="1"/>
        <v>256102863</v>
      </c>
      <c r="G18" s="61">
        <f t="shared" si="1"/>
        <v>278730859.5</v>
      </c>
    </row>
    <row r="19" spans="1:7" x14ac:dyDescent="0.3">
      <c r="A19" s="53" t="s">
        <v>446</v>
      </c>
      <c r="B19" s="60">
        <v>0</v>
      </c>
      <c r="C19" s="60">
        <v>0</v>
      </c>
      <c r="D19" s="60">
        <v>51736466.850000001</v>
      </c>
      <c r="E19" s="60">
        <v>77325545.569999993</v>
      </c>
      <c r="F19" s="60">
        <v>88515369.409999996</v>
      </c>
      <c r="G19" s="60">
        <v>101144501.59999999</v>
      </c>
    </row>
    <row r="20" spans="1:7" x14ac:dyDescent="0.3">
      <c r="A20" s="53" t="s">
        <v>447</v>
      </c>
      <c r="B20" s="60">
        <v>0</v>
      </c>
      <c r="C20" s="60">
        <v>0</v>
      </c>
      <c r="D20" s="60">
        <v>24204824.32</v>
      </c>
      <c r="E20" s="60">
        <v>19424958.219999999</v>
      </c>
      <c r="F20" s="60">
        <v>13082708.029999999</v>
      </c>
      <c r="G20" s="60">
        <v>9087790.0500000007</v>
      </c>
    </row>
    <row r="21" spans="1:7" x14ac:dyDescent="0.3">
      <c r="A21" s="53" t="s">
        <v>448</v>
      </c>
      <c r="B21" s="60">
        <v>0</v>
      </c>
      <c r="C21" s="60">
        <v>0</v>
      </c>
      <c r="D21" s="60">
        <v>17932742.629999999</v>
      </c>
      <c r="E21" s="60">
        <v>25475380.059999999</v>
      </c>
      <c r="F21" s="60">
        <v>41671759.799999997</v>
      </c>
      <c r="G21" s="60">
        <v>23755266.59</v>
      </c>
    </row>
    <row r="22" spans="1:7" x14ac:dyDescent="0.3">
      <c r="A22" s="53" t="s">
        <v>449</v>
      </c>
      <c r="B22" s="60">
        <v>0</v>
      </c>
      <c r="C22" s="60">
        <v>0</v>
      </c>
      <c r="D22" s="60">
        <v>16357075.560000001</v>
      </c>
      <c r="E22" s="60">
        <v>11209576.9</v>
      </c>
      <c r="F22" s="60">
        <v>7747759</v>
      </c>
      <c r="G22" s="60">
        <v>12118050.07</v>
      </c>
    </row>
    <row r="23" spans="1:7" x14ac:dyDescent="0.3">
      <c r="A23" s="53" t="s">
        <v>450</v>
      </c>
      <c r="B23" s="60">
        <v>0</v>
      </c>
      <c r="C23" s="60">
        <v>0</v>
      </c>
      <c r="D23" s="60">
        <v>9230814.6099999994</v>
      </c>
      <c r="E23" s="60">
        <v>5667439</v>
      </c>
      <c r="F23" s="60">
        <v>2630729.7200000002</v>
      </c>
      <c r="G23" s="60">
        <v>204954.41</v>
      </c>
    </row>
    <row r="24" spans="1:7" x14ac:dyDescent="0.3">
      <c r="A24" s="53" t="s">
        <v>451</v>
      </c>
      <c r="B24" s="60">
        <v>0</v>
      </c>
      <c r="C24" s="60">
        <v>0</v>
      </c>
      <c r="D24" s="60">
        <v>68280250.640000001</v>
      </c>
      <c r="E24" s="60">
        <v>97652060.109999999</v>
      </c>
      <c r="F24" s="60">
        <v>97954003.549999997</v>
      </c>
      <c r="G24" s="60">
        <v>128685725.16</v>
      </c>
    </row>
    <row r="25" spans="1:7" x14ac:dyDescent="0.3">
      <c r="A25" s="53" t="s">
        <v>452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456</v>
      </c>
      <c r="B26" s="60">
        <v>0</v>
      </c>
      <c r="C26" s="60">
        <v>0</v>
      </c>
      <c r="D26" s="60">
        <v>3158975</v>
      </c>
      <c r="E26" s="60">
        <v>246500</v>
      </c>
      <c r="F26" s="60">
        <v>0</v>
      </c>
      <c r="G26" s="60">
        <v>0</v>
      </c>
    </row>
    <row r="27" spans="1:7" x14ac:dyDescent="0.3">
      <c r="A27" s="53" t="s">
        <v>454</v>
      </c>
      <c r="B27" s="60">
        <v>0</v>
      </c>
      <c r="C27" s="60">
        <v>0</v>
      </c>
      <c r="D27" s="60">
        <v>5118046.9400000004</v>
      </c>
      <c r="E27" s="60">
        <v>5194311.91</v>
      </c>
      <c r="F27" s="60">
        <v>4500533.49</v>
      </c>
      <c r="G27" s="60">
        <v>3734571.62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486</v>
      </c>
      <c r="B29" s="61">
        <f>B7+B18</f>
        <v>0</v>
      </c>
      <c r="C29" s="61">
        <f t="shared" ref="C29:G29" si="2">C7+C18</f>
        <v>0</v>
      </c>
      <c r="D29" s="61">
        <f t="shared" si="2"/>
        <v>630684523.45000005</v>
      </c>
      <c r="E29" s="61">
        <f t="shared" si="2"/>
        <v>756230557.97000003</v>
      </c>
      <c r="F29" s="61">
        <f t="shared" si="2"/>
        <v>766832919.05000007</v>
      </c>
      <c r="G29" s="61">
        <f t="shared" si="2"/>
        <v>806128299.5999999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220" t="s">
        <v>3285</v>
      </c>
      <c r="B32" s="220"/>
      <c r="C32" s="220"/>
      <c r="D32" s="220"/>
      <c r="E32" s="220"/>
      <c r="F32" s="220"/>
      <c r="G32" s="220"/>
    </row>
    <row r="33" spans="1:7" x14ac:dyDescent="0.3">
      <c r="A33" s="220" t="s">
        <v>3286</v>
      </c>
      <c r="B33" s="220"/>
      <c r="C33" s="220"/>
      <c r="D33" s="220"/>
      <c r="E33" s="220"/>
      <c r="F33" s="220"/>
      <c r="G33" s="220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434665326.90000004</v>
      </c>
      <c r="S2" s="18">
        <f>'Formato 7 d)'!E7</f>
        <v>514034786.20000005</v>
      </c>
      <c r="T2" s="18">
        <f>'Formato 7 d)'!F7</f>
        <v>510730056.05000007</v>
      </c>
      <c r="U2" s="18">
        <f>'Formato 7 d)'!G7</f>
        <v>527397440.0999999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218149622.59999999</v>
      </c>
      <c r="S3" s="18">
        <f>'Formato 7 d)'!E8</f>
        <v>279093224.30000001</v>
      </c>
      <c r="T3" s="18">
        <f>'Formato 7 d)'!F8</f>
        <v>294590050.10000002</v>
      </c>
      <c r="U3" s="18">
        <f>'Formato 7 d)'!G8</f>
        <v>311205290.13999999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39182210.329999998</v>
      </c>
      <c r="S4" s="18">
        <f>'Formato 7 d)'!E9</f>
        <v>49461114.93</v>
      </c>
      <c r="T4" s="18">
        <f>'Formato 7 d)'!F9</f>
        <v>46928789.700000003</v>
      </c>
      <c r="U4" s="18">
        <f>'Formato 7 d)'!G9</f>
        <v>51467841.990000002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103803365.3</v>
      </c>
      <c r="S5" s="18">
        <f>'Formato 7 d)'!E10</f>
        <v>93620347.090000004</v>
      </c>
      <c r="T5" s="18">
        <f>'Formato 7 d)'!F10</f>
        <v>74767064.900000006</v>
      </c>
      <c r="U5" s="18">
        <f>'Formato 7 d)'!G10</f>
        <v>99022811.809999973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31570427.609999999</v>
      </c>
      <c r="S6" s="18">
        <f>'Formato 7 d)'!E11</f>
        <v>46434321.25</v>
      </c>
      <c r="T6" s="18">
        <f>'Formato 7 d)'!F11</f>
        <v>47525436.68</v>
      </c>
      <c r="U6" s="18">
        <f>'Formato 7 d)'!G11</f>
        <v>40070031.850000001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27568650.800000001</v>
      </c>
      <c r="S7" s="18">
        <f>'Formato 7 d)'!E12</f>
        <v>21617364.940000001</v>
      </c>
      <c r="T7" s="18">
        <f>'Formato 7 d)'!F12</f>
        <v>3203317.26</v>
      </c>
      <c r="U7" s="18">
        <f>'Formato 7 d)'!G12</f>
        <v>2058635.45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12592373.26</v>
      </c>
      <c r="S8" s="18">
        <f>'Formato 7 d)'!E13</f>
        <v>17127450.84</v>
      </c>
      <c r="T8" s="18">
        <f>'Formato 7 d)'!F13</f>
        <v>39790397.409999996</v>
      </c>
      <c r="U8" s="18">
        <f>'Formato 7 d)'!G13</f>
        <v>20835957.830000002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1798677</v>
      </c>
      <c r="S10" s="18">
        <f>'Formato 7 d)'!E15</f>
        <v>6680962.8499999996</v>
      </c>
      <c r="T10" s="18">
        <f>'Formato 7 d)'!F15</f>
        <v>3925000</v>
      </c>
      <c r="U10" s="18">
        <f>'Formato 7 d)'!G15</f>
        <v>2736871.03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196019196.55000001</v>
      </c>
      <c r="S12" s="18">
        <f>'Formato 7 d)'!E18</f>
        <v>242195771.77000001</v>
      </c>
      <c r="T12" s="18">
        <f>'Formato 7 d)'!F18</f>
        <v>256102863</v>
      </c>
      <c r="U12" s="18">
        <f>'Formato 7 d)'!G18</f>
        <v>278730859.5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51736466.850000001</v>
      </c>
      <c r="S13" s="18">
        <f>'Formato 7 d)'!E19</f>
        <v>77325545.569999993</v>
      </c>
      <c r="T13" s="18">
        <f>'Formato 7 d)'!F19</f>
        <v>88515369.409999996</v>
      </c>
      <c r="U13" s="18">
        <f>'Formato 7 d)'!G19</f>
        <v>101144501.59999999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24204824.32</v>
      </c>
      <c r="S14" s="18">
        <f>'Formato 7 d)'!E20</f>
        <v>19424958.219999999</v>
      </c>
      <c r="T14" s="18">
        <f>'Formato 7 d)'!F20</f>
        <v>13082708.029999999</v>
      </c>
      <c r="U14" s="18">
        <f>'Formato 7 d)'!G20</f>
        <v>9087790.0500000007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17932742.629999999</v>
      </c>
      <c r="S15" s="18">
        <f>'Formato 7 d)'!E21</f>
        <v>25475380.059999999</v>
      </c>
      <c r="T15" s="18">
        <f>'Formato 7 d)'!F21</f>
        <v>41671759.799999997</v>
      </c>
      <c r="U15" s="18">
        <f>'Formato 7 d)'!G21</f>
        <v>23755266.59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16357075.560000001</v>
      </c>
      <c r="S16" s="18">
        <f>'Formato 7 d)'!E22</f>
        <v>11209576.9</v>
      </c>
      <c r="T16" s="18">
        <f>'Formato 7 d)'!F22</f>
        <v>7747759</v>
      </c>
      <c r="U16" s="18">
        <f>'Formato 7 d)'!G22</f>
        <v>12118050.07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9230814.6099999994</v>
      </c>
      <c r="S17" s="18">
        <f>'Formato 7 d)'!E23</f>
        <v>5667439</v>
      </c>
      <c r="T17" s="18">
        <f>'Formato 7 d)'!F23</f>
        <v>2630729.7200000002</v>
      </c>
      <c r="U17" s="18">
        <f>'Formato 7 d)'!G23</f>
        <v>204954.41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68280250.640000001</v>
      </c>
      <c r="S18" s="18">
        <f>'Formato 7 d)'!E24</f>
        <v>97652060.109999999</v>
      </c>
      <c r="T18" s="18">
        <f>'Formato 7 d)'!F24</f>
        <v>97954003.549999997</v>
      </c>
      <c r="U18" s="18">
        <f>'Formato 7 d)'!G24</f>
        <v>128685725.16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3158975</v>
      </c>
      <c r="S20" s="18">
        <f>'Formato 7 d)'!E26</f>
        <v>246500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5118046.9400000004</v>
      </c>
      <c r="S21" s="18">
        <f>'Formato 7 d)'!E27</f>
        <v>5194311.91</v>
      </c>
      <c r="T21" s="18">
        <f>'Formato 7 d)'!F27</f>
        <v>4500533.49</v>
      </c>
      <c r="U21" s="18">
        <f>'Formato 7 d)'!G27</f>
        <v>3734571.62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630684523.45000005</v>
      </c>
      <c r="S22" s="18">
        <f>'Formato 7 d)'!E29</f>
        <v>756230557.97000003</v>
      </c>
      <c r="T22" s="18">
        <f>'Formato 7 d)'!F29</f>
        <v>766832919.05000007</v>
      </c>
      <c r="U22" s="18">
        <f>'Formato 7 d)'!G29</f>
        <v>806128299.5999999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3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3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3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3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3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3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3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3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3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3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3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3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3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3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3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3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3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3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3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3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3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3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3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3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3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3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3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3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3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3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3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3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3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3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3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3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3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3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3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3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3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3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3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3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3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3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3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3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3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3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3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3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3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3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3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3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3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3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3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3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3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3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3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3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3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3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3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3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3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3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3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3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3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3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3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3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3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3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3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3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3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3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3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3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3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3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3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3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3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3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3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3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3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3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3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3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3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3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3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3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3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3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3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3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3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3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3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3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3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3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3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3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3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3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3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3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3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3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3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3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3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3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3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3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3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3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3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3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3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3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3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3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3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3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3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3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3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3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3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3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3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3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3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3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3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3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3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3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3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3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3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3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3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3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3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3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3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3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3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3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3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3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3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3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3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3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3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3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3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3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3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3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3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3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3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3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3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3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3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3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3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3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3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3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3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3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3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3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3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3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3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3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3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3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3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3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3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3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3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3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3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3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3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3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3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3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3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3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3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3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3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3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3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3">
      <c r="AP215">
        <v>20</v>
      </c>
      <c r="AQ215" t="s">
        <v>1970</v>
      </c>
      <c r="AR215">
        <v>21</v>
      </c>
      <c r="AS215" t="s">
        <v>2525</v>
      </c>
    </row>
    <row r="216" spans="42:63" x14ac:dyDescent="0.3">
      <c r="AP216">
        <v>20</v>
      </c>
      <c r="AQ216" t="s">
        <v>1971</v>
      </c>
      <c r="AR216">
        <v>21</v>
      </c>
      <c r="AS216" t="s">
        <v>2526</v>
      </c>
    </row>
    <row r="217" spans="42:63" x14ac:dyDescent="0.3">
      <c r="AP217">
        <v>20</v>
      </c>
      <c r="AQ217" t="s">
        <v>1972</v>
      </c>
      <c r="AR217">
        <v>21</v>
      </c>
      <c r="AS217" t="s">
        <v>2527</v>
      </c>
    </row>
    <row r="218" spans="42:63" x14ac:dyDescent="0.3">
      <c r="AP218">
        <v>20</v>
      </c>
      <c r="AQ218" t="s">
        <v>1973</v>
      </c>
      <c r="AR218">
        <v>21</v>
      </c>
      <c r="AS218" t="s">
        <v>2528</v>
      </c>
    </row>
    <row r="219" spans="42:63" x14ac:dyDescent="0.3">
      <c r="AP219">
        <v>20</v>
      </c>
      <c r="AQ219" t="s">
        <v>1974</v>
      </c>
      <c r="AR219">
        <v>21</v>
      </c>
      <c r="AS219" t="s">
        <v>2529</v>
      </c>
    </row>
    <row r="220" spans="42:63" x14ac:dyDescent="0.3">
      <c r="AP220">
        <v>20</v>
      </c>
      <c r="AQ220" t="s">
        <v>1975</v>
      </c>
    </row>
    <row r="221" spans="42:63" x14ac:dyDescent="0.3">
      <c r="AP221">
        <v>20</v>
      </c>
      <c r="AQ221" t="s">
        <v>1976</v>
      </c>
    </row>
    <row r="222" spans="42:63" x14ac:dyDescent="0.3">
      <c r="AP222">
        <v>20</v>
      </c>
      <c r="AQ222" t="s">
        <v>1977</v>
      </c>
    </row>
    <row r="223" spans="42:63" x14ac:dyDescent="0.3">
      <c r="AP223">
        <v>20</v>
      </c>
      <c r="AQ223" t="s">
        <v>1978</v>
      </c>
    </row>
    <row r="224" spans="42:63" x14ac:dyDescent="0.3">
      <c r="AP224">
        <v>20</v>
      </c>
      <c r="AQ224" t="s">
        <v>1979</v>
      </c>
    </row>
    <row r="225" spans="42:43" x14ac:dyDescent="0.3">
      <c r="AP225">
        <v>20</v>
      </c>
      <c r="AQ225" t="s">
        <v>1980</v>
      </c>
    </row>
    <row r="226" spans="42:43" x14ac:dyDescent="0.3">
      <c r="AP226">
        <v>20</v>
      </c>
      <c r="AQ226" t="s">
        <v>1981</v>
      </c>
    </row>
    <row r="227" spans="42:43" x14ac:dyDescent="0.3">
      <c r="AP227">
        <v>20</v>
      </c>
      <c r="AQ227" t="s">
        <v>1982</v>
      </c>
    </row>
    <row r="228" spans="42:43" x14ac:dyDescent="0.3">
      <c r="AP228">
        <v>20</v>
      </c>
      <c r="AQ228" t="s">
        <v>1983</v>
      </c>
    </row>
    <row r="229" spans="42:43" x14ac:dyDescent="0.3">
      <c r="AP229">
        <v>20</v>
      </c>
      <c r="AQ229" t="s">
        <v>1984</v>
      </c>
    </row>
    <row r="230" spans="42:43" x14ac:dyDescent="0.3">
      <c r="AP230">
        <v>20</v>
      </c>
      <c r="AQ230" t="s">
        <v>1985</v>
      </c>
    </row>
    <row r="231" spans="42:43" x14ac:dyDescent="0.3">
      <c r="AP231">
        <v>20</v>
      </c>
      <c r="AQ231" t="s">
        <v>1986</v>
      </c>
    </row>
    <row r="232" spans="42:43" x14ac:dyDescent="0.3">
      <c r="AP232">
        <v>20</v>
      </c>
      <c r="AQ232" t="s">
        <v>1987</v>
      </c>
    </row>
    <row r="233" spans="42:43" x14ac:dyDescent="0.3">
      <c r="AP233">
        <v>20</v>
      </c>
      <c r="AQ233" t="s">
        <v>1988</v>
      </c>
    </row>
    <row r="234" spans="42:43" x14ac:dyDescent="0.3">
      <c r="AP234">
        <v>20</v>
      </c>
      <c r="AQ234" t="s">
        <v>1989</v>
      </c>
    </row>
    <row r="235" spans="42:43" x14ac:dyDescent="0.3">
      <c r="AP235">
        <v>20</v>
      </c>
      <c r="AQ235" t="s">
        <v>1990</v>
      </c>
    </row>
    <row r="236" spans="42:43" x14ac:dyDescent="0.3">
      <c r="AP236">
        <v>20</v>
      </c>
      <c r="AQ236" t="s">
        <v>1991</v>
      </c>
    </row>
    <row r="237" spans="42:43" x14ac:dyDescent="0.3">
      <c r="AP237">
        <v>20</v>
      </c>
      <c r="AQ237" t="s">
        <v>1992</v>
      </c>
    </row>
    <row r="238" spans="42:43" x14ac:dyDescent="0.3">
      <c r="AP238">
        <v>20</v>
      </c>
      <c r="AQ238" t="s">
        <v>1993</v>
      </c>
    </row>
    <row r="239" spans="42:43" x14ac:dyDescent="0.3">
      <c r="AP239">
        <v>20</v>
      </c>
      <c r="AQ239" t="s">
        <v>1994</v>
      </c>
    </row>
    <row r="240" spans="42:43" x14ac:dyDescent="0.3">
      <c r="AP240">
        <v>20</v>
      </c>
      <c r="AQ240" t="s">
        <v>1995</v>
      </c>
    </row>
    <row r="241" spans="42:43" x14ac:dyDescent="0.3">
      <c r="AP241">
        <v>20</v>
      </c>
      <c r="AQ241" t="s">
        <v>1996</v>
      </c>
    </row>
    <row r="242" spans="42:43" x14ac:dyDescent="0.3">
      <c r="AP242">
        <v>20</v>
      </c>
      <c r="AQ242" t="s">
        <v>1997</v>
      </c>
    </row>
    <row r="243" spans="42:43" x14ac:dyDescent="0.3">
      <c r="AP243">
        <v>20</v>
      </c>
      <c r="AQ243" t="s">
        <v>1998</v>
      </c>
    </row>
    <row r="244" spans="42:43" x14ac:dyDescent="0.3">
      <c r="AP244">
        <v>20</v>
      </c>
      <c r="AQ244" t="s">
        <v>1999</v>
      </c>
    </row>
    <row r="245" spans="42:43" x14ac:dyDescent="0.3">
      <c r="AP245">
        <v>20</v>
      </c>
      <c r="AQ245" t="s">
        <v>2000</v>
      </c>
    </row>
    <row r="246" spans="42:43" x14ac:dyDescent="0.3">
      <c r="AP246">
        <v>20</v>
      </c>
      <c r="AQ246" t="s">
        <v>2001</v>
      </c>
    </row>
    <row r="247" spans="42:43" x14ac:dyDescent="0.3">
      <c r="AP247">
        <v>20</v>
      </c>
      <c r="AQ247" t="s">
        <v>2002</v>
      </c>
    </row>
    <row r="248" spans="42:43" x14ac:dyDescent="0.3">
      <c r="AP248">
        <v>20</v>
      </c>
      <c r="AQ248" t="s">
        <v>2003</v>
      </c>
    </row>
    <row r="249" spans="42:43" x14ac:dyDescent="0.3">
      <c r="AP249">
        <v>20</v>
      </c>
      <c r="AQ249" t="s">
        <v>2004</v>
      </c>
    </row>
    <row r="250" spans="42:43" x14ac:dyDescent="0.3">
      <c r="AP250">
        <v>20</v>
      </c>
      <c r="AQ250" t="s">
        <v>2005</v>
      </c>
    </row>
    <row r="251" spans="42:43" x14ac:dyDescent="0.3">
      <c r="AP251">
        <v>20</v>
      </c>
      <c r="AQ251" t="s">
        <v>2006</v>
      </c>
    </row>
    <row r="252" spans="42:43" x14ac:dyDescent="0.3">
      <c r="AP252">
        <v>20</v>
      </c>
      <c r="AQ252" t="s">
        <v>2007</v>
      </c>
    </row>
    <row r="253" spans="42:43" x14ac:dyDescent="0.3">
      <c r="AP253">
        <v>20</v>
      </c>
      <c r="AQ253" t="s">
        <v>2008</v>
      </c>
    </row>
    <row r="254" spans="42:43" x14ac:dyDescent="0.3">
      <c r="AP254">
        <v>20</v>
      </c>
      <c r="AQ254" t="s">
        <v>2009</v>
      </c>
    </row>
    <row r="255" spans="42:43" x14ac:dyDescent="0.3">
      <c r="AP255">
        <v>20</v>
      </c>
      <c r="AQ255" t="s">
        <v>2010</v>
      </c>
    </row>
    <row r="256" spans="42:43" x14ac:dyDescent="0.3">
      <c r="AP256">
        <v>20</v>
      </c>
      <c r="AQ256" t="s">
        <v>2011</v>
      </c>
    </row>
    <row r="257" spans="42:43" x14ac:dyDescent="0.3">
      <c r="AP257">
        <v>20</v>
      </c>
      <c r="AQ257" t="s">
        <v>2012</v>
      </c>
    </row>
    <row r="258" spans="42:43" x14ac:dyDescent="0.3">
      <c r="AP258">
        <v>20</v>
      </c>
      <c r="AQ258" t="s">
        <v>2013</v>
      </c>
    </row>
    <row r="259" spans="42:43" x14ac:dyDescent="0.3">
      <c r="AP259">
        <v>20</v>
      </c>
      <c r="AQ259" t="s">
        <v>2014</v>
      </c>
    </row>
    <row r="260" spans="42:43" x14ac:dyDescent="0.3">
      <c r="AP260">
        <v>20</v>
      </c>
      <c r="AQ260" t="s">
        <v>2015</v>
      </c>
    </row>
    <row r="261" spans="42:43" x14ac:dyDescent="0.3">
      <c r="AP261">
        <v>20</v>
      </c>
      <c r="AQ261" t="s">
        <v>2016</v>
      </c>
    </row>
    <row r="262" spans="42:43" x14ac:dyDescent="0.3">
      <c r="AP262">
        <v>20</v>
      </c>
      <c r="AQ262" t="s">
        <v>2017</v>
      </c>
    </row>
    <row r="263" spans="42:43" x14ac:dyDescent="0.3">
      <c r="AP263">
        <v>20</v>
      </c>
      <c r="AQ263" t="s">
        <v>2018</v>
      </c>
    </row>
    <row r="264" spans="42:43" x14ac:dyDescent="0.3">
      <c r="AP264">
        <v>20</v>
      </c>
      <c r="AQ264" t="s">
        <v>2019</v>
      </c>
    </row>
    <row r="265" spans="42:43" x14ac:dyDescent="0.3">
      <c r="AP265">
        <v>20</v>
      </c>
      <c r="AQ265" t="s">
        <v>2020</v>
      </c>
    </row>
    <row r="266" spans="42:43" x14ac:dyDescent="0.3">
      <c r="AP266">
        <v>20</v>
      </c>
      <c r="AQ266" t="s">
        <v>2021</v>
      </c>
    </row>
    <row r="267" spans="42:43" x14ac:dyDescent="0.3">
      <c r="AP267">
        <v>20</v>
      </c>
      <c r="AQ267" t="s">
        <v>2022</v>
      </c>
    </row>
    <row r="268" spans="42:43" x14ac:dyDescent="0.3">
      <c r="AP268">
        <v>20</v>
      </c>
      <c r="AQ268" t="s">
        <v>2023</v>
      </c>
    </row>
    <row r="269" spans="42:43" x14ac:dyDescent="0.3">
      <c r="AP269">
        <v>20</v>
      </c>
      <c r="AQ269" t="s">
        <v>2024</v>
      </c>
    </row>
    <row r="270" spans="42:43" x14ac:dyDescent="0.3">
      <c r="AP270">
        <v>20</v>
      </c>
      <c r="AQ270" t="s">
        <v>2025</v>
      </c>
    </row>
    <row r="271" spans="42:43" x14ac:dyDescent="0.3">
      <c r="AP271">
        <v>20</v>
      </c>
      <c r="AQ271" t="s">
        <v>2026</v>
      </c>
    </row>
    <row r="272" spans="42:43" x14ac:dyDescent="0.3">
      <c r="AP272">
        <v>20</v>
      </c>
      <c r="AQ272" t="s">
        <v>2027</v>
      </c>
    </row>
    <row r="273" spans="42:43" x14ac:dyDescent="0.3">
      <c r="AP273">
        <v>20</v>
      </c>
      <c r="AQ273" t="s">
        <v>2028</v>
      </c>
    </row>
    <row r="274" spans="42:43" x14ac:dyDescent="0.3">
      <c r="AP274">
        <v>20</v>
      </c>
      <c r="AQ274" t="s">
        <v>2029</v>
      </c>
    </row>
    <row r="275" spans="42:43" x14ac:dyDescent="0.3">
      <c r="AP275">
        <v>20</v>
      </c>
      <c r="AQ275" t="s">
        <v>2030</v>
      </c>
    </row>
    <row r="276" spans="42:43" x14ac:dyDescent="0.3">
      <c r="AP276">
        <v>20</v>
      </c>
      <c r="AQ276" t="s">
        <v>2031</v>
      </c>
    </row>
    <row r="277" spans="42:43" x14ac:dyDescent="0.3">
      <c r="AP277">
        <v>20</v>
      </c>
      <c r="AQ277" t="s">
        <v>2032</v>
      </c>
    </row>
    <row r="278" spans="42:43" x14ac:dyDescent="0.3">
      <c r="AP278">
        <v>20</v>
      </c>
      <c r="AQ278" t="s">
        <v>2033</v>
      </c>
    </row>
    <row r="279" spans="42:43" x14ac:dyDescent="0.3">
      <c r="AP279">
        <v>20</v>
      </c>
      <c r="AQ279" t="s">
        <v>2034</v>
      </c>
    </row>
    <row r="280" spans="42:43" x14ac:dyDescent="0.3">
      <c r="AP280">
        <v>20</v>
      </c>
      <c r="AQ280" t="s">
        <v>2035</v>
      </c>
    </row>
    <row r="281" spans="42:43" x14ac:dyDescent="0.3">
      <c r="AP281">
        <v>20</v>
      </c>
      <c r="AQ281" t="s">
        <v>2036</v>
      </c>
    </row>
    <row r="282" spans="42:43" x14ac:dyDescent="0.3">
      <c r="AP282">
        <v>20</v>
      </c>
      <c r="AQ282" t="s">
        <v>2037</v>
      </c>
    </row>
    <row r="283" spans="42:43" x14ac:dyDescent="0.3">
      <c r="AP283">
        <v>20</v>
      </c>
      <c r="AQ283" t="s">
        <v>2038</v>
      </c>
    </row>
    <row r="284" spans="42:43" x14ac:dyDescent="0.3">
      <c r="AP284">
        <v>20</v>
      </c>
      <c r="AQ284" t="s">
        <v>2039</v>
      </c>
    </row>
    <row r="285" spans="42:43" x14ac:dyDescent="0.3">
      <c r="AP285">
        <v>20</v>
      </c>
      <c r="AQ285" t="s">
        <v>2040</v>
      </c>
    </row>
    <row r="286" spans="42:43" x14ac:dyDescent="0.3">
      <c r="AP286">
        <v>20</v>
      </c>
      <c r="AQ286" t="s">
        <v>2041</v>
      </c>
    </row>
    <row r="287" spans="42:43" x14ac:dyDescent="0.3">
      <c r="AP287">
        <v>20</v>
      </c>
      <c r="AQ287" t="s">
        <v>2042</v>
      </c>
    </row>
    <row r="288" spans="42:43" x14ac:dyDescent="0.3">
      <c r="AP288">
        <v>20</v>
      </c>
      <c r="AQ288" t="s">
        <v>2043</v>
      </c>
    </row>
    <row r="289" spans="42:43" x14ac:dyDescent="0.3">
      <c r="AP289">
        <v>20</v>
      </c>
      <c r="AQ289" t="s">
        <v>2044</v>
      </c>
    </row>
    <row r="290" spans="42:43" x14ac:dyDescent="0.3">
      <c r="AP290">
        <v>20</v>
      </c>
      <c r="AQ290" t="s">
        <v>2045</v>
      </c>
    </row>
    <row r="291" spans="42:43" x14ac:dyDescent="0.3">
      <c r="AP291">
        <v>20</v>
      </c>
      <c r="AQ291" t="s">
        <v>2046</v>
      </c>
    </row>
    <row r="292" spans="42:43" x14ac:dyDescent="0.3">
      <c r="AP292">
        <v>20</v>
      </c>
      <c r="AQ292" t="s">
        <v>2047</v>
      </c>
    </row>
    <row r="293" spans="42:43" x14ac:dyDescent="0.3">
      <c r="AP293">
        <v>20</v>
      </c>
      <c r="AQ293" t="s">
        <v>2048</v>
      </c>
    </row>
    <row r="294" spans="42:43" x14ac:dyDescent="0.3">
      <c r="AP294">
        <v>20</v>
      </c>
      <c r="AQ294" t="s">
        <v>2049</v>
      </c>
    </row>
    <row r="295" spans="42:43" x14ac:dyDescent="0.3">
      <c r="AP295">
        <v>20</v>
      </c>
      <c r="AQ295" t="s">
        <v>2050</v>
      </c>
    </row>
    <row r="296" spans="42:43" x14ac:dyDescent="0.3">
      <c r="AP296">
        <v>20</v>
      </c>
      <c r="AQ296" t="s">
        <v>2051</v>
      </c>
    </row>
    <row r="297" spans="42:43" x14ac:dyDescent="0.3">
      <c r="AP297">
        <v>20</v>
      </c>
      <c r="AQ297" t="s">
        <v>2052</v>
      </c>
    </row>
    <row r="298" spans="42:43" x14ac:dyDescent="0.3">
      <c r="AP298">
        <v>20</v>
      </c>
      <c r="AQ298" t="s">
        <v>2053</v>
      </c>
    </row>
    <row r="299" spans="42:43" x14ac:dyDescent="0.3">
      <c r="AP299">
        <v>20</v>
      </c>
      <c r="AQ299" t="s">
        <v>2054</v>
      </c>
    </row>
    <row r="300" spans="42:43" x14ac:dyDescent="0.3">
      <c r="AP300">
        <v>20</v>
      </c>
      <c r="AQ300" t="s">
        <v>2055</v>
      </c>
    </row>
    <row r="301" spans="42:43" x14ac:dyDescent="0.3">
      <c r="AP301">
        <v>20</v>
      </c>
      <c r="AQ301" t="s">
        <v>2056</v>
      </c>
    </row>
    <row r="302" spans="42:43" x14ac:dyDescent="0.3">
      <c r="AP302">
        <v>20</v>
      </c>
      <c r="AQ302" t="s">
        <v>2057</v>
      </c>
    </row>
    <row r="303" spans="42:43" x14ac:dyDescent="0.3">
      <c r="AP303">
        <v>20</v>
      </c>
      <c r="AQ303" t="s">
        <v>2058</v>
      </c>
    </row>
    <row r="304" spans="42:43" x14ac:dyDescent="0.3">
      <c r="AP304">
        <v>20</v>
      </c>
      <c r="AQ304" t="s">
        <v>2059</v>
      </c>
    </row>
    <row r="305" spans="42:43" x14ac:dyDescent="0.3">
      <c r="AP305">
        <v>20</v>
      </c>
      <c r="AQ305" t="s">
        <v>2060</v>
      </c>
    </row>
    <row r="306" spans="42:43" x14ac:dyDescent="0.3">
      <c r="AP306">
        <v>20</v>
      </c>
      <c r="AQ306" t="s">
        <v>2061</v>
      </c>
    </row>
    <row r="307" spans="42:43" x14ac:dyDescent="0.3">
      <c r="AP307">
        <v>20</v>
      </c>
      <c r="AQ307" t="s">
        <v>2062</v>
      </c>
    </row>
    <row r="308" spans="42:43" x14ac:dyDescent="0.3">
      <c r="AP308">
        <v>20</v>
      </c>
      <c r="AQ308" t="s">
        <v>2063</v>
      </c>
    </row>
    <row r="309" spans="42:43" x14ac:dyDescent="0.3">
      <c r="AP309">
        <v>20</v>
      </c>
      <c r="AQ309" t="s">
        <v>2064</v>
      </c>
    </row>
    <row r="310" spans="42:43" x14ac:dyDescent="0.3">
      <c r="AP310">
        <v>20</v>
      </c>
      <c r="AQ310" t="s">
        <v>2065</v>
      </c>
    </row>
    <row r="311" spans="42:43" x14ac:dyDescent="0.3">
      <c r="AP311">
        <v>20</v>
      </c>
      <c r="AQ311" t="s">
        <v>2066</v>
      </c>
    </row>
    <row r="312" spans="42:43" x14ac:dyDescent="0.3">
      <c r="AP312">
        <v>20</v>
      </c>
      <c r="AQ312" t="s">
        <v>2067</v>
      </c>
    </row>
    <row r="313" spans="42:43" x14ac:dyDescent="0.3">
      <c r="AP313">
        <v>20</v>
      </c>
      <c r="AQ313" t="s">
        <v>2068</v>
      </c>
    </row>
    <row r="314" spans="42:43" x14ac:dyDescent="0.3">
      <c r="AP314">
        <v>20</v>
      </c>
      <c r="AQ314" t="s">
        <v>2069</v>
      </c>
    </row>
    <row r="315" spans="42:43" x14ac:dyDescent="0.3">
      <c r="AP315">
        <v>20</v>
      </c>
      <c r="AQ315" t="s">
        <v>2070</v>
      </c>
    </row>
    <row r="316" spans="42:43" x14ac:dyDescent="0.3">
      <c r="AP316">
        <v>20</v>
      </c>
      <c r="AQ316" t="s">
        <v>2071</v>
      </c>
    </row>
    <row r="317" spans="42:43" x14ac:dyDescent="0.3">
      <c r="AP317">
        <v>20</v>
      </c>
      <c r="AQ317" t="s">
        <v>2072</v>
      </c>
    </row>
    <row r="318" spans="42:43" x14ac:dyDescent="0.3">
      <c r="AP318">
        <v>20</v>
      </c>
      <c r="AQ318" t="s">
        <v>2073</v>
      </c>
    </row>
    <row r="319" spans="42:43" x14ac:dyDescent="0.3">
      <c r="AP319">
        <v>20</v>
      </c>
      <c r="AQ319" t="s">
        <v>2074</v>
      </c>
    </row>
    <row r="320" spans="42:43" x14ac:dyDescent="0.3">
      <c r="AP320">
        <v>20</v>
      </c>
      <c r="AQ320" t="s">
        <v>2075</v>
      </c>
    </row>
    <row r="321" spans="42:43" x14ac:dyDescent="0.3">
      <c r="AP321">
        <v>20</v>
      </c>
      <c r="AQ321" t="s">
        <v>2076</v>
      </c>
    </row>
    <row r="322" spans="42:43" x14ac:dyDescent="0.3">
      <c r="AP322">
        <v>20</v>
      </c>
      <c r="AQ322" t="s">
        <v>2077</v>
      </c>
    </row>
    <row r="323" spans="42:43" x14ac:dyDescent="0.3">
      <c r="AP323">
        <v>20</v>
      </c>
      <c r="AQ323" t="s">
        <v>2078</v>
      </c>
    </row>
    <row r="324" spans="42:43" x14ac:dyDescent="0.3">
      <c r="AP324">
        <v>20</v>
      </c>
      <c r="AQ324" t="s">
        <v>2079</v>
      </c>
    </row>
    <row r="325" spans="42:43" x14ac:dyDescent="0.3">
      <c r="AP325">
        <v>20</v>
      </c>
      <c r="AQ325" t="s">
        <v>2080</v>
      </c>
    </row>
    <row r="326" spans="42:43" x14ac:dyDescent="0.3">
      <c r="AP326">
        <v>20</v>
      </c>
      <c r="AQ326" t="s">
        <v>2081</v>
      </c>
    </row>
    <row r="327" spans="42:43" x14ac:dyDescent="0.3">
      <c r="AP327">
        <v>20</v>
      </c>
      <c r="AQ327" t="s">
        <v>2082</v>
      </c>
    </row>
    <row r="328" spans="42:43" x14ac:dyDescent="0.3">
      <c r="AP328">
        <v>20</v>
      </c>
      <c r="AQ328" t="s">
        <v>2083</v>
      </c>
    </row>
    <row r="329" spans="42:43" x14ac:dyDescent="0.3">
      <c r="AP329">
        <v>20</v>
      </c>
      <c r="AQ329" t="s">
        <v>2084</v>
      </c>
    </row>
    <row r="330" spans="42:43" x14ac:dyDescent="0.3">
      <c r="AP330">
        <v>20</v>
      </c>
      <c r="AQ330" t="s">
        <v>2085</v>
      </c>
    </row>
    <row r="331" spans="42:43" x14ac:dyDescent="0.3">
      <c r="AP331">
        <v>20</v>
      </c>
      <c r="AQ331" t="s">
        <v>2086</v>
      </c>
    </row>
    <row r="332" spans="42:43" x14ac:dyDescent="0.3">
      <c r="AP332">
        <v>20</v>
      </c>
      <c r="AQ332" t="s">
        <v>2087</v>
      </c>
    </row>
    <row r="333" spans="42:43" x14ac:dyDescent="0.3">
      <c r="AP333">
        <v>20</v>
      </c>
      <c r="AQ333" t="s">
        <v>2088</v>
      </c>
    </row>
    <row r="334" spans="42:43" x14ac:dyDescent="0.3">
      <c r="AP334">
        <v>20</v>
      </c>
      <c r="AQ334" t="s">
        <v>2089</v>
      </c>
    </row>
    <row r="335" spans="42:43" x14ac:dyDescent="0.3">
      <c r="AP335">
        <v>20</v>
      </c>
      <c r="AQ335" t="s">
        <v>2090</v>
      </c>
    </row>
    <row r="336" spans="42:43" x14ac:dyDescent="0.3">
      <c r="AP336">
        <v>20</v>
      </c>
      <c r="AQ336" t="s">
        <v>2091</v>
      </c>
    </row>
    <row r="337" spans="42:43" x14ac:dyDescent="0.3">
      <c r="AP337">
        <v>20</v>
      </c>
      <c r="AQ337" t="s">
        <v>2092</v>
      </c>
    </row>
    <row r="338" spans="42:43" x14ac:dyDescent="0.3">
      <c r="AP338">
        <v>20</v>
      </c>
      <c r="AQ338" t="s">
        <v>2093</v>
      </c>
    </row>
    <row r="339" spans="42:43" x14ac:dyDescent="0.3">
      <c r="AP339">
        <v>20</v>
      </c>
      <c r="AQ339" t="s">
        <v>2094</v>
      </c>
    </row>
    <row r="340" spans="42:43" x14ac:dyDescent="0.3">
      <c r="AP340">
        <v>20</v>
      </c>
      <c r="AQ340" t="s">
        <v>2095</v>
      </c>
    </row>
    <row r="341" spans="42:43" x14ac:dyDescent="0.3">
      <c r="AP341">
        <v>20</v>
      </c>
      <c r="AQ341" t="s">
        <v>2096</v>
      </c>
    </row>
    <row r="342" spans="42:43" x14ac:dyDescent="0.3">
      <c r="AP342">
        <v>20</v>
      </c>
      <c r="AQ342" t="s">
        <v>2097</v>
      </c>
    </row>
    <row r="343" spans="42:43" x14ac:dyDescent="0.3">
      <c r="AP343">
        <v>20</v>
      </c>
      <c r="AQ343" t="s">
        <v>2098</v>
      </c>
    </row>
    <row r="344" spans="42:43" x14ac:dyDescent="0.3">
      <c r="AP344">
        <v>20</v>
      </c>
      <c r="AQ344" t="s">
        <v>2099</v>
      </c>
    </row>
    <row r="345" spans="42:43" x14ac:dyDescent="0.3">
      <c r="AP345">
        <v>20</v>
      </c>
      <c r="AQ345" t="s">
        <v>2100</v>
      </c>
    </row>
    <row r="346" spans="42:43" x14ac:dyDescent="0.3">
      <c r="AP346">
        <v>20</v>
      </c>
      <c r="AQ346" t="s">
        <v>2101</v>
      </c>
    </row>
    <row r="347" spans="42:43" x14ac:dyDescent="0.3">
      <c r="AP347">
        <v>20</v>
      </c>
      <c r="AQ347" t="s">
        <v>2102</v>
      </c>
    </row>
    <row r="348" spans="42:43" x14ac:dyDescent="0.3">
      <c r="AP348">
        <v>20</v>
      </c>
      <c r="AQ348" t="s">
        <v>2103</v>
      </c>
    </row>
    <row r="349" spans="42:43" x14ac:dyDescent="0.3">
      <c r="AP349">
        <v>20</v>
      </c>
      <c r="AQ349" t="s">
        <v>2104</v>
      </c>
    </row>
    <row r="350" spans="42:43" x14ac:dyDescent="0.3">
      <c r="AP350">
        <v>20</v>
      </c>
      <c r="AQ350" t="s">
        <v>2105</v>
      </c>
    </row>
    <row r="351" spans="42:43" x14ac:dyDescent="0.3">
      <c r="AP351">
        <v>20</v>
      </c>
      <c r="AQ351" t="s">
        <v>2106</v>
      </c>
    </row>
    <row r="352" spans="42:43" x14ac:dyDescent="0.3">
      <c r="AP352">
        <v>20</v>
      </c>
      <c r="AQ352" t="s">
        <v>2107</v>
      </c>
    </row>
    <row r="353" spans="42:43" x14ac:dyDescent="0.3">
      <c r="AP353">
        <v>20</v>
      </c>
      <c r="AQ353" t="s">
        <v>2108</v>
      </c>
    </row>
    <row r="354" spans="42:43" x14ac:dyDescent="0.3">
      <c r="AP354">
        <v>20</v>
      </c>
      <c r="AQ354" t="s">
        <v>2109</v>
      </c>
    </row>
    <row r="355" spans="42:43" x14ac:dyDescent="0.3">
      <c r="AP355">
        <v>20</v>
      </c>
      <c r="AQ355" t="s">
        <v>2110</v>
      </c>
    </row>
    <row r="356" spans="42:43" x14ac:dyDescent="0.3">
      <c r="AP356">
        <v>20</v>
      </c>
      <c r="AQ356" t="s">
        <v>2111</v>
      </c>
    </row>
    <row r="357" spans="42:43" x14ac:dyDescent="0.3">
      <c r="AP357">
        <v>20</v>
      </c>
      <c r="AQ357" t="s">
        <v>2112</v>
      </c>
    </row>
    <row r="358" spans="42:43" x14ac:dyDescent="0.3">
      <c r="AP358">
        <v>20</v>
      </c>
      <c r="AQ358" t="s">
        <v>2113</v>
      </c>
    </row>
    <row r="359" spans="42:43" x14ac:dyDescent="0.3">
      <c r="AP359">
        <v>20</v>
      </c>
      <c r="AQ359" t="s">
        <v>2114</v>
      </c>
    </row>
    <row r="360" spans="42:43" x14ac:dyDescent="0.3">
      <c r="AP360">
        <v>20</v>
      </c>
      <c r="AQ360" t="s">
        <v>2115</v>
      </c>
    </row>
    <row r="361" spans="42:43" x14ac:dyDescent="0.3">
      <c r="AP361">
        <v>20</v>
      </c>
      <c r="AQ361" t="s">
        <v>2116</v>
      </c>
    </row>
    <row r="362" spans="42:43" x14ac:dyDescent="0.3">
      <c r="AP362">
        <v>20</v>
      </c>
      <c r="AQ362" t="s">
        <v>2117</v>
      </c>
    </row>
    <row r="363" spans="42:43" x14ac:dyDescent="0.3">
      <c r="AP363">
        <v>20</v>
      </c>
      <c r="AQ363" t="s">
        <v>2118</v>
      </c>
    </row>
    <row r="364" spans="42:43" x14ac:dyDescent="0.3">
      <c r="AP364">
        <v>20</v>
      </c>
      <c r="AQ364" t="s">
        <v>2119</v>
      </c>
    </row>
    <row r="365" spans="42:43" x14ac:dyDescent="0.3">
      <c r="AP365">
        <v>20</v>
      </c>
      <c r="AQ365" t="s">
        <v>2120</v>
      </c>
    </row>
    <row r="366" spans="42:43" x14ac:dyDescent="0.3">
      <c r="AP366">
        <v>20</v>
      </c>
      <c r="AQ366" t="s">
        <v>2121</v>
      </c>
    </row>
    <row r="367" spans="42:43" x14ac:dyDescent="0.3">
      <c r="AP367">
        <v>20</v>
      </c>
      <c r="AQ367" t="s">
        <v>2122</v>
      </c>
    </row>
    <row r="368" spans="42:43" x14ac:dyDescent="0.3">
      <c r="AP368">
        <v>20</v>
      </c>
      <c r="AQ368" t="s">
        <v>2123</v>
      </c>
    </row>
    <row r="369" spans="42:43" x14ac:dyDescent="0.3">
      <c r="AP369">
        <v>20</v>
      </c>
      <c r="AQ369" t="s">
        <v>2124</v>
      </c>
    </row>
    <row r="370" spans="42:43" x14ac:dyDescent="0.3">
      <c r="AP370">
        <v>20</v>
      </c>
      <c r="AQ370" t="s">
        <v>2125</v>
      </c>
    </row>
    <row r="371" spans="42:43" x14ac:dyDescent="0.3">
      <c r="AP371">
        <v>20</v>
      </c>
      <c r="AQ371" t="s">
        <v>2126</v>
      </c>
    </row>
    <row r="372" spans="42:43" x14ac:dyDescent="0.3">
      <c r="AP372">
        <v>20</v>
      </c>
      <c r="AQ372" t="s">
        <v>2127</v>
      </c>
    </row>
    <row r="373" spans="42:43" x14ac:dyDescent="0.3">
      <c r="AP373">
        <v>20</v>
      </c>
      <c r="AQ373" t="s">
        <v>2128</v>
      </c>
    </row>
    <row r="374" spans="42:43" x14ac:dyDescent="0.3">
      <c r="AP374">
        <v>20</v>
      </c>
      <c r="AQ374" t="s">
        <v>2129</v>
      </c>
    </row>
    <row r="375" spans="42:43" x14ac:dyDescent="0.3">
      <c r="AP375">
        <v>20</v>
      </c>
      <c r="AQ375" t="s">
        <v>2130</v>
      </c>
    </row>
    <row r="376" spans="42:43" x14ac:dyDescent="0.3">
      <c r="AP376">
        <v>20</v>
      </c>
      <c r="AQ376" t="s">
        <v>2131</v>
      </c>
    </row>
    <row r="377" spans="42:43" x14ac:dyDescent="0.3">
      <c r="AP377">
        <v>20</v>
      </c>
      <c r="AQ377" t="s">
        <v>2132</v>
      </c>
    </row>
    <row r="378" spans="42:43" x14ac:dyDescent="0.3">
      <c r="AP378">
        <v>20</v>
      </c>
      <c r="AQ378" t="s">
        <v>2133</v>
      </c>
    </row>
    <row r="379" spans="42:43" x14ac:dyDescent="0.3">
      <c r="AP379">
        <v>20</v>
      </c>
      <c r="AQ379" t="s">
        <v>2134</v>
      </c>
    </row>
    <row r="380" spans="42:43" x14ac:dyDescent="0.3">
      <c r="AP380">
        <v>20</v>
      </c>
      <c r="AQ380" t="s">
        <v>2135</v>
      </c>
    </row>
    <row r="381" spans="42:43" x14ac:dyDescent="0.3">
      <c r="AP381">
        <v>20</v>
      </c>
      <c r="AQ381" t="s">
        <v>2136</v>
      </c>
    </row>
    <row r="382" spans="42:43" x14ac:dyDescent="0.3">
      <c r="AP382">
        <v>20</v>
      </c>
      <c r="AQ382" t="s">
        <v>2137</v>
      </c>
    </row>
    <row r="383" spans="42:43" x14ac:dyDescent="0.3">
      <c r="AP383">
        <v>20</v>
      </c>
      <c r="AQ383" t="s">
        <v>2138</v>
      </c>
    </row>
    <row r="384" spans="42:43" x14ac:dyDescent="0.3">
      <c r="AP384">
        <v>20</v>
      </c>
      <c r="AQ384" t="s">
        <v>2139</v>
      </c>
    </row>
    <row r="385" spans="42:43" x14ac:dyDescent="0.3">
      <c r="AP385">
        <v>20</v>
      </c>
      <c r="AQ385" t="s">
        <v>2140</v>
      </c>
    </row>
    <row r="386" spans="42:43" x14ac:dyDescent="0.3">
      <c r="AP386">
        <v>20</v>
      </c>
      <c r="AQ386" t="s">
        <v>2141</v>
      </c>
    </row>
    <row r="387" spans="42:43" x14ac:dyDescent="0.3">
      <c r="AP387">
        <v>20</v>
      </c>
      <c r="AQ387" t="s">
        <v>2142</v>
      </c>
    </row>
    <row r="388" spans="42:43" x14ac:dyDescent="0.3">
      <c r="AP388">
        <v>20</v>
      </c>
      <c r="AQ388" t="s">
        <v>2143</v>
      </c>
    </row>
    <row r="389" spans="42:43" x14ac:dyDescent="0.3">
      <c r="AP389">
        <v>20</v>
      </c>
      <c r="AQ389" t="s">
        <v>2144</v>
      </c>
    </row>
    <row r="390" spans="42:43" x14ac:dyDescent="0.3">
      <c r="AP390">
        <v>20</v>
      </c>
      <c r="AQ390" t="s">
        <v>2145</v>
      </c>
    </row>
    <row r="391" spans="42:43" x14ac:dyDescent="0.3">
      <c r="AP391">
        <v>20</v>
      </c>
      <c r="AQ391" t="s">
        <v>2146</v>
      </c>
    </row>
    <row r="392" spans="42:43" x14ac:dyDescent="0.3">
      <c r="AP392">
        <v>20</v>
      </c>
      <c r="AQ392" t="s">
        <v>2147</v>
      </c>
    </row>
    <row r="393" spans="42:43" x14ac:dyDescent="0.3">
      <c r="AP393">
        <v>20</v>
      </c>
      <c r="AQ393" t="s">
        <v>2148</v>
      </c>
    </row>
    <row r="394" spans="42:43" x14ac:dyDescent="0.3">
      <c r="AP394">
        <v>20</v>
      </c>
      <c r="AQ394" t="s">
        <v>2149</v>
      </c>
    </row>
    <row r="395" spans="42:43" x14ac:dyDescent="0.3">
      <c r="AP395">
        <v>20</v>
      </c>
      <c r="AQ395" t="s">
        <v>2150</v>
      </c>
    </row>
    <row r="396" spans="42:43" x14ac:dyDescent="0.3">
      <c r="AP396">
        <v>20</v>
      </c>
      <c r="AQ396" t="s">
        <v>2151</v>
      </c>
    </row>
    <row r="397" spans="42:43" x14ac:dyDescent="0.3">
      <c r="AP397">
        <v>20</v>
      </c>
      <c r="AQ397" t="s">
        <v>2152</v>
      </c>
    </row>
    <row r="398" spans="42:43" x14ac:dyDescent="0.3">
      <c r="AP398">
        <v>20</v>
      </c>
      <c r="AQ398" t="s">
        <v>2153</v>
      </c>
    </row>
    <row r="399" spans="42:43" x14ac:dyDescent="0.3">
      <c r="AP399">
        <v>20</v>
      </c>
      <c r="AQ399" t="s">
        <v>2154</v>
      </c>
    </row>
    <row r="400" spans="42:43" x14ac:dyDescent="0.3">
      <c r="AP400">
        <v>20</v>
      </c>
      <c r="AQ400" t="s">
        <v>2155</v>
      </c>
    </row>
    <row r="401" spans="42:43" x14ac:dyDescent="0.3">
      <c r="AP401">
        <v>20</v>
      </c>
      <c r="AQ401" t="s">
        <v>2156</v>
      </c>
    </row>
    <row r="402" spans="42:43" x14ac:dyDescent="0.3">
      <c r="AP402">
        <v>20</v>
      </c>
      <c r="AQ402" t="s">
        <v>2157</v>
      </c>
    </row>
    <row r="403" spans="42:43" x14ac:dyDescent="0.3">
      <c r="AP403">
        <v>20</v>
      </c>
      <c r="AQ403" t="s">
        <v>2158</v>
      </c>
    </row>
    <row r="404" spans="42:43" x14ac:dyDescent="0.3">
      <c r="AP404">
        <v>20</v>
      </c>
      <c r="AQ404" t="s">
        <v>2159</v>
      </c>
    </row>
    <row r="405" spans="42:43" x14ac:dyDescent="0.3">
      <c r="AP405">
        <v>20</v>
      </c>
      <c r="AQ405" t="s">
        <v>2160</v>
      </c>
    </row>
    <row r="406" spans="42:43" x14ac:dyDescent="0.3">
      <c r="AP406">
        <v>20</v>
      </c>
      <c r="AQ406" t="s">
        <v>2161</v>
      </c>
    </row>
    <row r="407" spans="42:43" x14ac:dyDescent="0.3">
      <c r="AP407">
        <v>20</v>
      </c>
      <c r="AQ407" t="s">
        <v>2162</v>
      </c>
    </row>
    <row r="408" spans="42:43" x14ac:dyDescent="0.3">
      <c r="AP408">
        <v>20</v>
      </c>
      <c r="AQ408" t="s">
        <v>2163</v>
      </c>
    </row>
    <row r="409" spans="42:43" x14ac:dyDescent="0.3">
      <c r="AP409">
        <v>20</v>
      </c>
      <c r="AQ409" t="s">
        <v>2164</v>
      </c>
    </row>
    <row r="410" spans="42:43" x14ac:dyDescent="0.3">
      <c r="AP410">
        <v>20</v>
      </c>
      <c r="AQ410" t="s">
        <v>2165</v>
      </c>
    </row>
    <row r="411" spans="42:43" x14ac:dyDescent="0.3">
      <c r="AP411">
        <v>20</v>
      </c>
      <c r="AQ411" t="s">
        <v>2166</v>
      </c>
    </row>
    <row r="412" spans="42:43" x14ac:dyDescent="0.3">
      <c r="AP412">
        <v>20</v>
      </c>
      <c r="AQ412" t="s">
        <v>2167</v>
      </c>
    </row>
    <row r="413" spans="42:43" x14ac:dyDescent="0.3">
      <c r="AP413">
        <v>20</v>
      </c>
      <c r="AQ413" t="s">
        <v>2168</v>
      </c>
    </row>
    <row r="414" spans="42:43" x14ac:dyDescent="0.3">
      <c r="AP414">
        <v>20</v>
      </c>
      <c r="AQ414" t="s">
        <v>2169</v>
      </c>
    </row>
    <row r="415" spans="42:43" x14ac:dyDescent="0.3">
      <c r="AP415">
        <v>20</v>
      </c>
      <c r="AQ415" t="s">
        <v>2170</v>
      </c>
    </row>
    <row r="416" spans="42:43" x14ac:dyDescent="0.3">
      <c r="AP416">
        <v>20</v>
      </c>
      <c r="AQ416" t="s">
        <v>2171</v>
      </c>
    </row>
    <row r="417" spans="42:43" x14ac:dyDescent="0.3">
      <c r="AP417">
        <v>20</v>
      </c>
      <c r="AQ417" t="s">
        <v>2172</v>
      </c>
    </row>
    <row r="418" spans="42:43" x14ac:dyDescent="0.3">
      <c r="AP418">
        <v>20</v>
      </c>
      <c r="AQ418" t="s">
        <v>2173</v>
      </c>
    </row>
    <row r="419" spans="42:43" x14ac:dyDescent="0.3">
      <c r="AP419">
        <v>20</v>
      </c>
      <c r="AQ419" t="s">
        <v>2174</v>
      </c>
    </row>
    <row r="420" spans="42:43" x14ac:dyDescent="0.3">
      <c r="AP420">
        <v>20</v>
      </c>
      <c r="AQ420" t="s">
        <v>2175</v>
      </c>
    </row>
    <row r="421" spans="42:43" x14ac:dyDescent="0.3">
      <c r="AP421">
        <v>20</v>
      </c>
      <c r="AQ421" t="s">
        <v>2176</v>
      </c>
    </row>
    <row r="422" spans="42:43" x14ac:dyDescent="0.3">
      <c r="AP422">
        <v>20</v>
      </c>
      <c r="AQ422" t="s">
        <v>2177</v>
      </c>
    </row>
    <row r="423" spans="42:43" x14ac:dyDescent="0.3">
      <c r="AP423">
        <v>20</v>
      </c>
      <c r="AQ423" t="s">
        <v>2178</v>
      </c>
    </row>
    <row r="424" spans="42:43" x14ac:dyDescent="0.3">
      <c r="AP424">
        <v>20</v>
      </c>
      <c r="AQ424" t="s">
        <v>2179</v>
      </c>
    </row>
    <row r="425" spans="42:43" x14ac:dyDescent="0.3">
      <c r="AP425">
        <v>20</v>
      </c>
      <c r="AQ425" t="s">
        <v>2180</v>
      </c>
    </row>
    <row r="426" spans="42:43" x14ac:dyDescent="0.3">
      <c r="AP426">
        <v>20</v>
      </c>
      <c r="AQ426" t="s">
        <v>2181</v>
      </c>
    </row>
    <row r="427" spans="42:43" x14ac:dyDescent="0.3">
      <c r="AP427">
        <v>20</v>
      </c>
      <c r="AQ427" t="s">
        <v>2182</v>
      </c>
    </row>
    <row r="428" spans="42:43" x14ac:dyDescent="0.3">
      <c r="AP428">
        <v>20</v>
      </c>
      <c r="AQ428" t="s">
        <v>2183</v>
      </c>
    </row>
    <row r="429" spans="42:43" x14ac:dyDescent="0.3">
      <c r="AP429">
        <v>20</v>
      </c>
      <c r="AQ429" t="s">
        <v>2184</v>
      </c>
    </row>
    <row r="430" spans="42:43" x14ac:dyDescent="0.3">
      <c r="AP430">
        <v>20</v>
      </c>
      <c r="AQ430" t="s">
        <v>2185</v>
      </c>
    </row>
    <row r="431" spans="42:43" x14ac:dyDescent="0.3">
      <c r="AP431">
        <v>20</v>
      </c>
      <c r="AQ431" t="s">
        <v>2186</v>
      </c>
    </row>
    <row r="432" spans="42:43" x14ac:dyDescent="0.3">
      <c r="AP432">
        <v>20</v>
      </c>
      <c r="AQ432" t="s">
        <v>2187</v>
      </c>
    </row>
    <row r="433" spans="42:43" x14ac:dyDescent="0.3">
      <c r="AP433">
        <v>20</v>
      </c>
      <c r="AQ433" t="s">
        <v>2188</v>
      </c>
    </row>
    <row r="434" spans="42:43" x14ac:dyDescent="0.3">
      <c r="AP434">
        <v>20</v>
      </c>
      <c r="AQ434" t="s">
        <v>2189</v>
      </c>
    </row>
    <row r="435" spans="42:43" x14ac:dyDescent="0.3">
      <c r="AP435">
        <v>20</v>
      </c>
      <c r="AQ435" t="s">
        <v>2190</v>
      </c>
    </row>
    <row r="436" spans="42:43" x14ac:dyDescent="0.3">
      <c r="AP436">
        <v>20</v>
      </c>
      <c r="AQ436" t="s">
        <v>2191</v>
      </c>
    </row>
    <row r="437" spans="42:43" x14ac:dyDescent="0.3">
      <c r="AP437">
        <v>20</v>
      </c>
      <c r="AQ437" t="s">
        <v>2192</v>
      </c>
    </row>
    <row r="438" spans="42:43" x14ac:dyDescent="0.3">
      <c r="AP438">
        <v>20</v>
      </c>
      <c r="AQ438" t="s">
        <v>2193</v>
      </c>
    </row>
    <row r="439" spans="42:43" x14ac:dyDescent="0.3">
      <c r="AP439">
        <v>20</v>
      </c>
      <c r="AQ439" t="s">
        <v>2194</v>
      </c>
    </row>
    <row r="440" spans="42:43" x14ac:dyDescent="0.3">
      <c r="AP440">
        <v>20</v>
      </c>
      <c r="AQ440" t="s">
        <v>2195</v>
      </c>
    </row>
    <row r="441" spans="42:43" x14ac:dyDescent="0.3">
      <c r="AP441">
        <v>20</v>
      </c>
      <c r="AQ441" t="s">
        <v>2196</v>
      </c>
    </row>
    <row r="442" spans="42:43" x14ac:dyDescent="0.3">
      <c r="AP442">
        <v>20</v>
      </c>
      <c r="AQ442" t="s">
        <v>2197</v>
      </c>
    </row>
    <row r="443" spans="42:43" x14ac:dyDescent="0.3">
      <c r="AP443">
        <v>20</v>
      </c>
      <c r="AQ443" t="s">
        <v>2198</v>
      </c>
    </row>
    <row r="444" spans="42:43" x14ac:dyDescent="0.3">
      <c r="AP444">
        <v>20</v>
      </c>
      <c r="AQ444" t="s">
        <v>2199</v>
      </c>
    </row>
    <row r="445" spans="42:43" x14ac:dyDescent="0.3">
      <c r="AP445">
        <v>20</v>
      </c>
      <c r="AQ445" t="s">
        <v>2200</v>
      </c>
    </row>
    <row r="446" spans="42:43" x14ac:dyDescent="0.3">
      <c r="AP446">
        <v>20</v>
      </c>
      <c r="AQ446" t="s">
        <v>2201</v>
      </c>
    </row>
    <row r="447" spans="42:43" x14ac:dyDescent="0.3">
      <c r="AP447">
        <v>20</v>
      </c>
      <c r="AQ447" t="s">
        <v>2202</v>
      </c>
    </row>
    <row r="448" spans="42:43" x14ac:dyDescent="0.3">
      <c r="AP448">
        <v>20</v>
      </c>
      <c r="AQ448" t="s">
        <v>2203</v>
      </c>
    </row>
    <row r="449" spans="42:43" x14ac:dyDescent="0.3">
      <c r="AP449">
        <v>20</v>
      </c>
      <c r="AQ449" t="s">
        <v>2204</v>
      </c>
    </row>
    <row r="450" spans="42:43" x14ac:dyDescent="0.3">
      <c r="AP450">
        <v>20</v>
      </c>
      <c r="AQ450" t="s">
        <v>2205</v>
      </c>
    </row>
    <row r="451" spans="42:43" x14ac:dyDescent="0.3">
      <c r="AP451">
        <v>20</v>
      </c>
      <c r="AQ451" t="s">
        <v>2206</v>
      </c>
    </row>
    <row r="452" spans="42:43" x14ac:dyDescent="0.3">
      <c r="AP452">
        <v>20</v>
      </c>
      <c r="AQ452" t="s">
        <v>2207</v>
      </c>
    </row>
    <row r="453" spans="42:43" x14ac:dyDescent="0.3">
      <c r="AP453">
        <v>20</v>
      </c>
      <c r="AQ453" t="s">
        <v>2208</v>
      </c>
    </row>
    <row r="454" spans="42:43" x14ac:dyDescent="0.3">
      <c r="AP454">
        <v>20</v>
      </c>
      <c r="AQ454" t="s">
        <v>2209</v>
      </c>
    </row>
    <row r="455" spans="42:43" x14ac:dyDescent="0.3">
      <c r="AP455">
        <v>20</v>
      </c>
      <c r="AQ455" t="s">
        <v>2210</v>
      </c>
    </row>
    <row r="456" spans="42:43" x14ac:dyDescent="0.3">
      <c r="AP456">
        <v>20</v>
      </c>
      <c r="AQ456" t="s">
        <v>2211</v>
      </c>
    </row>
    <row r="457" spans="42:43" x14ac:dyDescent="0.3">
      <c r="AP457">
        <v>20</v>
      </c>
      <c r="AQ457" t="s">
        <v>2212</v>
      </c>
    </row>
    <row r="458" spans="42:43" x14ac:dyDescent="0.3">
      <c r="AP458">
        <v>20</v>
      </c>
      <c r="AQ458" t="s">
        <v>2213</v>
      </c>
    </row>
    <row r="459" spans="42:43" x14ac:dyDescent="0.3">
      <c r="AP459">
        <v>20</v>
      </c>
      <c r="AQ459" t="s">
        <v>2214</v>
      </c>
    </row>
    <row r="460" spans="42:43" x14ac:dyDescent="0.3">
      <c r="AP460">
        <v>20</v>
      </c>
      <c r="AQ460" t="s">
        <v>2215</v>
      </c>
    </row>
    <row r="461" spans="42:43" x14ac:dyDescent="0.3">
      <c r="AP461">
        <v>20</v>
      </c>
      <c r="AQ461" t="s">
        <v>2216</v>
      </c>
    </row>
    <row r="462" spans="42:43" x14ac:dyDescent="0.3">
      <c r="AP462">
        <v>20</v>
      </c>
      <c r="AQ462" t="s">
        <v>2217</v>
      </c>
    </row>
    <row r="463" spans="42:43" x14ac:dyDescent="0.3">
      <c r="AP463">
        <v>20</v>
      </c>
      <c r="AQ463" t="s">
        <v>2218</v>
      </c>
    </row>
    <row r="464" spans="42:43" x14ac:dyDescent="0.3">
      <c r="AP464">
        <v>20</v>
      </c>
      <c r="AQ464" t="s">
        <v>2219</v>
      </c>
    </row>
    <row r="465" spans="42:43" x14ac:dyDescent="0.3">
      <c r="AP465">
        <v>20</v>
      </c>
      <c r="AQ465" t="s">
        <v>2220</v>
      </c>
    </row>
    <row r="466" spans="42:43" x14ac:dyDescent="0.3">
      <c r="AP466">
        <v>20</v>
      </c>
      <c r="AQ466" t="s">
        <v>2221</v>
      </c>
    </row>
    <row r="467" spans="42:43" x14ac:dyDescent="0.3">
      <c r="AP467">
        <v>20</v>
      </c>
      <c r="AQ467" t="s">
        <v>2222</v>
      </c>
    </row>
    <row r="468" spans="42:43" x14ac:dyDescent="0.3">
      <c r="AP468">
        <v>20</v>
      </c>
      <c r="AQ468" t="s">
        <v>2223</v>
      </c>
    </row>
    <row r="469" spans="42:43" x14ac:dyDescent="0.3">
      <c r="AP469">
        <v>20</v>
      </c>
      <c r="AQ469" t="s">
        <v>2224</v>
      </c>
    </row>
    <row r="470" spans="42:43" x14ac:dyDescent="0.3">
      <c r="AP470">
        <v>20</v>
      </c>
      <c r="AQ470" t="s">
        <v>2225</v>
      </c>
    </row>
    <row r="471" spans="42:43" x14ac:dyDescent="0.3">
      <c r="AP471">
        <v>20</v>
      </c>
      <c r="AQ471" t="s">
        <v>2226</v>
      </c>
    </row>
    <row r="472" spans="42:43" x14ac:dyDescent="0.3">
      <c r="AP472">
        <v>20</v>
      </c>
      <c r="AQ472" t="s">
        <v>2227</v>
      </c>
    </row>
    <row r="473" spans="42:43" x14ac:dyDescent="0.3">
      <c r="AP473">
        <v>20</v>
      </c>
      <c r="AQ473" t="s">
        <v>2228</v>
      </c>
    </row>
    <row r="474" spans="42:43" x14ac:dyDescent="0.3">
      <c r="AP474">
        <v>20</v>
      </c>
      <c r="AQ474" t="s">
        <v>2229</v>
      </c>
    </row>
    <row r="475" spans="42:43" x14ac:dyDescent="0.3">
      <c r="AP475">
        <v>20</v>
      </c>
      <c r="AQ475" t="s">
        <v>2230</v>
      </c>
    </row>
    <row r="476" spans="42:43" x14ac:dyDescent="0.3">
      <c r="AP476">
        <v>20</v>
      </c>
      <c r="AQ476" t="s">
        <v>2231</v>
      </c>
    </row>
    <row r="477" spans="42:43" x14ac:dyDescent="0.3">
      <c r="AP477">
        <v>20</v>
      </c>
      <c r="AQ477" t="s">
        <v>2232</v>
      </c>
    </row>
    <row r="478" spans="42:43" x14ac:dyDescent="0.3">
      <c r="AP478">
        <v>20</v>
      </c>
      <c r="AQ478" t="s">
        <v>2233</v>
      </c>
    </row>
    <row r="479" spans="42:43" x14ac:dyDescent="0.3">
      <c r="AP479">
        <v>20</v>
      </c>
      <c r="AQ479" t="s">
        <v>2234</v>
      </c>
    </row>
    <row r="480" spans="42:43" x14ac:dyDescent="0.3">
      <c r="AP480">
        <v>20</v>
      </c>
      <c r="AQ480" t="s">
        <v>2235</v>
      </c>
    </row>
    <row r="481" spans="42:43" x14ac:dyDescent="0.3">
      <c r="AP481">
        <v>20</v>
      </c>
      <c r="AQ481" t="s">
        <v>2236</v>
      </c>
    </row>
    <row r="482" spans="42:43" x14ac:dyDescent="0.3">
      <c r="AP482">
        <v>20</v>
      </c>
      <c r="AQ482" t="s">
        <v>2237</v>
      </c>
    </row>
    <row r="483" spans="42:43" x14ac:dyDescent="0.3">
      <c r="AP483">
        <v>20</v>
      </c>
      <c r="AQ483" t="s">
        <v>2238</v>
      </c>
    </row>
    <row r="484" spans="42:43" x14ac:dyDescent="0.3">
      <c r="AP484">
        <v>20</v>
      </c>
      <c r="AQ484" t="s">
        <v>2239</v>
      </c>
    </row>
    <row r="485" spans="42:43" x14ac:dyDescent="0.3">
      <c r="AP485">
        <v>20</v>
      </c>
      <c r="AQ485" t="s">
        <v>2240</v>
      </c>
    </row>
    <row r="486" spans="42:43" x14ac:dyDescent="0.3">
      <c r="AP486">
        <v>20</v>
      </c>
      <c r="AQ486" t="s">
        <v>2241</v>
      </c>
    </row>
    <row r="487" spans="42:43" x14ac:dyDescent="0.3">
      <c r="AP487">
        <v>20</v>
      </c>
      <c r="AQ487" t="s">
        <v>2242</v>
      </c>
    </row>
    <row r="488" spans="42:43" x14ac:dyDescent="0.3">
      <c r="AP488">
        <v>20</v>
      </c>
      <c r="AQ488" t="s">
        <v>2243</v>
      </c>
    </row>
    <row r="489" spans="42:43" x14ac:dyDescent="0.3">
      <c r="AP489">
        <v>20</v>
      </c>
      <c r="AQ489" t="s">
        <v>2244</v>
      </c>
    </row>
    <row r="490" spans="42:43" x14ac:dyDescent="0.3">
      <c r="AP490">
        <v>20</v>
      </c>
      <c r="AQ490" t="s">
        <v>2245</v>
      </c>
    </row>
    <row r="491" spans="42:43" x14ac:dyDescent="0.3">
      <c r="AP491">
        <v>20</v>
      </c>
      <c r="AQ491" t="s">
        <v>2246</v>
      </c>
    </row>
    <row r="492" spans="42:43" x14ac:dyDescent="0.3">
      <c r="AP492">
        <v>20</v>
      </c>
      <c r="AQ492" t="s">
        <v>2247</v>
      </c>
    </row>
    <row r="493" spans="42:43" x14ac:dyDescent="0.3">
      <c r="AP493">
        <v>20</v>
      </c>
      <c r="AQ493" t="s">
        <v>2248</v>
      </c>
    </row>
    <row r="494" spans="42:43" x14ac:dyDescent="0.3">
      <c r="AP494">
        <v>20</v>
      </c>
      <c r="AQ494" t="s">
        <v>2249</v>
      </c>
    </row>
    <row r="495" spans="42:43" x14ac:dyDescent="0.3">
      <c r="AP495">
        <v>20</v>
      </c>
      <c r="AQ495" t="s">
        <v>2250</v>
      </c>
    </row>
    <row r="496" spans="42:43" x14ac:dyDescent="0.3">
      <c r="AP496">
        <v>20</v>
      </c>
      <c r="AQ496" t="s">
        <v>2251</v>
      </c>
    </row>
    <row r="497" spans="42:43" x14ac:dyDescent="0.3">
      <c r="AP497">
        <v>20</v>
      </c>
      <c r="AQ497" t="s">
        <v>2252</v>
      </c>
    </row>
    <row r="498" spans="42:43" x14ac:dyDescent="0.3">
      <c r="AP498">
        <v>20</v>
      </c>
      <c r="AQ498" t="s">
        <v>2253</v>
      </c>
    </row>
    <row r="499" spans="42:43" x14ac:dyDescent="0.3">
      <c r="AP499">
        <v>20</v>
      </c>
      <c r="AQ499" t="s">
        <v>2254</v>
      </c>
    </row>
    <row r="500" spans="42:43" x14ac:dyDescent="0.3">
      <c r="AP500">
        <v>20</v>
      </c>
      <c r="AQ500" t="s">
        <v>2255</v>
      </c>
    </row>
    <row r="501" spans="42:43" x14ac:dyDescent="0.3">
      <c r="AP501">
        <v>20</v>
      </c>
      <c r="AQ501" t="s">
        <v>2256</v>
      </c>
    </row>
    <row r="502" spans="42:43" x14ac:dyDescent="0.3">
      <c r="AP502">
        <v>20</v>
      </c>
      <c r="AQ502" t="s">
        <v>2257</v>
      </c>
    </row>
    <row r="503" spans="42:43" x14ac:dyDescent="0.3">
      <c r="AP503">
        <v>20</v>
      </c>
      <c r="AQ503" t="s">
        <v>2258</v>
      </c>
    </row>
    <row r="504" spans="42:43" x14ac:dyDescent="0.3">
      <c r="AP504">
        <v>20</v>
      </c>
      <c r="AQ504" t="s">
        <v>2259</v>
      </c>
    </row>
    <row r="505" spans="42:43" x14ac:dyDescent="0.3">
      <c r="AP505">
        <v>20</v>
      </c>
      <c r="AQ505" t="s">
        <v>2260</v>
      </c>
    </row>
    <row r="506" spans="42:43" x14ac:dyDescent="0.3">
      <c r="AP506">
        <v>20</v>
      </c>
      <c r="AQ506" t="s">
        <v>2261</v>
      </c>
    </row>
    <row r="507" spans="42:43" x14ac:dyDescent="0.3">
      <c r="AP507">
        <v>20</v>
      </c>
      <c r="AQ507" t="s">
        <v>2262</v>
      </c>
    </row>
    <row r="508" spans="42:43" x14ac:dyDescent="0.3">
      <c r="AP508">
        <v>20</v>
      </c>
      <c r="AQ508" t="s">
        <v>2263</v>
      </c>
    </row>
    <row r="509" spans="42:43" x14ac:dyDescent="0.3">
      <c r="AP509">
        <v>20</v>
      </c>
      <c r="AQ509" t="s">
        <v>2264</v>
      </c>
    </row>
    <row r="510" spans="42:43" x14ac:dyDescent="0.3">
      <c r="AP510">
        <v>20</v>
      </c>
      <c r="AQ510" t="s">
        <v>2265</v>
      </c>
    </row>
    <row r="511" spans="42:43" x14ac:dyDescent="0.3">
      <c r="AP511">
        <v>20</v>
      </c>
      <c r="AQ511" t="s">
        <v>2266</v>
      </c>
    </row>
    <row r="512" spans="42:43" x14ac:dyDescent="0.3">
      <c r="AP512">
        <v>20</v>
      </c>
      <c r="AQ512" t="s">
        <v>2267</v>
      </c>
    </row>
    <row r="513" spans="42:43" x14ac:dyDescent="0.3">
      <c r="AP513">
        <v>20</v>
      </c>
      <c r="AQ513" t="s">
        <v>2268</v>
      </c>
    </row>
    <row r="514" spans="42:43" x14ac:dyDescent="0.3">
      <c r="AP514">
        <v>20</v>
      </c>
      <c r="AQ514" t="s">
        <v>2269</v>
      </c>
    </row>
    <row r="515" spans="42:43" x14ac:dyDescent="0.3">
      <c r="AP515">
        <v>20</v>
      </c>
      <c r="AQ515" t="s">
        <v>2270</v>
      </c>
    </row>
    <row r="516" spans="42:43" x14ac:dyDescent="0.3">
      <c r="AP516">
        <v>20</v>
      </c>
      <c r="AQ516" t="s">
        <v>2271</v>
      </c>
    </row>
    <row r="517" spans="42:43" x14ac:dyDescent="0.3">
      <c r="AP517">
        <v>20</v>
      </c>
      <c r="AQ517" t="s">
        <v>2272</v>
      </c>
    </row>
    <row r="518" spans="42:43" x14ac:dyDescent="0.3">
      <c r="AP518">
        <v>20</v>
      </c>
      <c r="AQ518" t="s">
        <v>2273</v>
      </c>
    </row>
    <row r="519" spans="42:43" x14ac:dyDescent="0.3">
      <c r="AP519">
        <v>20</v>
      </c>
      <c r="AQ519" t="s">
        <v>2274</v>
      </c>
    </row>
    <row r="520" spans="42:43" x14ac:dyDescent="0.3">
      <c r="AP520">
        <v>20</v>
      </c>
      <c r="AQ520" t="s">
        <v>2275</v>
      </c>
    </row>
    <row r="521" spans="42:43" x14ac:dyDescent="0.3">
      <c r="AP521">
        <v>20</v>
      </c>
      <c r="AQ521" t="s">
        <v>2276</v>
      </c>
    </row>
    <row r="522" spans="42:43" x14ac:dyDescent="0.3">
      <c r="AP522">
        <v>20</v>
      </c>
      <c r="AQ522" t="s">
        <v>2277</v>
      </c>
    </row>
    <row r="523" spans="42:43" x14ac:dyDescent="0.3">
      <c r="AP523">
        <v>20</v>
      </c>
      <c r="AQ523" t="s">
        <v>2278</v>
      </c>
    </row>
    <row r="524" spans="42:43" x14ac:dyDescent="0.3">
      <c r="AP524">
        <v>20</v>
      </c>
      <c r="AQ524" t="s">
        <v>2279</v>
      </c>
    </row>
    <row r="525" spans="42:43" x14ac:dyDescent="0.3">
      <c r="AP525">
        <v>20</v>
      </c>
      <c r="AQ525" t="s">
        <v>2280</v>
      </c>
    </row>
    <row r="526" spans="42:43" x14ac:dyDescent="0.3">
      <c r="AP526">
        <v>20</v>
      </c>
      <c r="AQ526" t="s">
        <v>2281</v>
      </c>
    </row>
    <row r="527" spans="42:43" x14ac:dyDescent="0.3">
      <c r="AP527">
        <v>20</v>
      </c>
      <c r="AQ527" t="s">
        <v>2282</v>
      </c>
    </row>
    <row r="528" spans="42:43" x14ac:dyDescent="0.3">
      <c r="AP528">
        <v>20</v>
      </c>
      <c r="AQ528" t="s">
        <v>2283</v>
      </c>
    </row>
    <row r="529" spans="42:43" x14ac:dyDescent="0.3">
      <c r="AP529">
        <v>20</v>
      </c>
      <c r="AQ529" t="s">
        <v>2284</v>
      </c>
    </row>
    <row r="530" spans="42:43" x14ac:dyDescent="0.3">
      <c r="AP530">
        <v>20</v>
      </c>
      <c r="AQ530" t="s">
        <v>2285</v>
      </c>
    </row>
    <row r="531" spans="42:43" x14ac:dyDescent="0.3">
      <c r="AP531">
        <v>20</v>
      </c>
      <c r="AQ531" t="s">
        <v>2286</v>
      </c>
    </row>
    <row r="532" spans="42:43" x14ac:dyDescent="0.3">
      <c r="AP532">
        <v>20</v>
      </c>
      <c r="AQ532" t="s">
        <v>2287</v>
      </c>
    </row>
    <row r="533" spans="42:43" x14ac:dyDescent="0.3">
      <c r="AP533">
        <v>20</v>
      </c>
      <c r="AQ533" t="s">
        <v>2288</v>
      </c>
    </row>
    <row r="534" spans="42:43" x14ac:dyDescent="0.3">
      <c r="AP534">
        <v>20</v>
      </c>
      <c r="AQ534" t="s">
        <v>2289</v>
      </c>
    </row>
    <row r="535" spans="42:43" x14ac:dyDescent="0.3">
      <c r="AP535">
        <v>20</v>
      </c>
      <c r="AQ535" t="s">
        <v>2290</v>
      </c>
    </row>
    <row r="536" spans="42:43" x14ac:dyDescent="0.3">
      <c r="AP536">
        <v>20</v>
      </c>
      <c r="AQ536" t="s">
        <v>2291</v>
      </c>
    </row>
    <row r="537" spans="42:43" x14ac:dyDescent="0.3">
      <c r="AP537">
        <v>20</v>
      </c>
      <c r="AQ537" t="s">
        <v>2292</v>
      </c>
    </row>
    <row r="538" spans="42:43" x14ac:dyDescent="0.3">
      <c r="AP538">
        <v>20</v>
      </c>
      <c r="AQ538" t="s">
        <v>2293</v>
      </c>
    </row>
    <row r="539" spans="42:43" x14ac:dyDescent="0.3">
      <c r="AP539">
        <v>20</v>
      </c>
      <c r="AQ539" t="s">
        <v>2294</v>
      </c>
    </row>
    <row r="540" spans="42:43" x14ac:dyDescent="0.3">
      <c r="AP540">
        <v>20</v>
      </c>
      <c r="AQ540" t="s">
        <v>2295</v>
      </c>
    </row>
    <row r="541" spans="42:43" x14ac:dyDescent="0.3">
      <c r="AP541">
        <v>20</v>
      </c>
      <c r="AQ541" t="s">
        <v>2296</v>
      </c>
    </row>
    <row r="542" spans="42:43" x14ac:dyDescent="0.3">
      <c r="AP542">
        <v>20</v>
      </c>
      <c r="AQ542" t="s">
        <v>2297</v>
      </c>
    </row>
    <row r="543" spans="42:43" x14ac:dyDescent="0.3">
      <c r="AP543">
        <v>20</v>
      </c>
      <c r="AQ543" t="s">
        <v>2298</v>
      </c>
    </row>
    <row r="544" spans="42:43" x14ac:dyDescent="0.3">
      <c r="AP544">
        <v>20</v>
      </c>
      <c r="AQ544" t="s">
        <v>2299</v>
      </c>
    </row>
    <row r="545" spans="42:43" x14ac:dyDescent="0.3">
      <c r="AP545">
        <v>20</v>
      </c>
      <c r="AQ545" t="s">
        <v>2300</v>
      </c>
    </row>
    <row r="546" spans="42:43" x14ac:dyDescent="0.3">
      <c r="AP546">
        <v>20</v>
      </c>
      <c r="AQ546" t="s">
        <v>2301</v>
      </c>
    </row>
    <row r="547" spans="42:43" x14ac:dyDescent="0.3">
      <c r="AP547">
        <v>20</v>
      </c>
      <c r="AQ547" t="s">
        <v>2302</v>
      </c>
    </row>
    <row r="548" spans="42:43" x14ac:dyDescent="0.3">
      <c r="AP548">
        <v>20</v>
      </c>
      <c r="AQ548" t="s">
        <v>2303</v>
      </c>
    </row>
    <row r="549" spans="42:43" x14ac:dyDescent="0.3">
      <c r="AP549">
        <v>20</v>
      </c>
      <c r="AQ549" t="s">
        <v>2304</v>
      </c>
    </row>
    <row r="550" spans="42:43" x14ac:dyDescent="0.3">
      <c r="AP550">
        <v>20</v>
      </c>
      <c r="AQ550" t="s">
        <v>2305</v>
      </c>
    </row>
    <row r="551" spans="42:43" x14ac:dyDescent="0.3">
      <c r="AP551">
        <v>20</v>
      </c>
      <c r="AQ551" t="s">
        <v>2306</v>
      </c>
    </row>
    <row r="552" spans="42:43" x14ac:dyDescent="0.3">
      <c r="AP552">
        <v>20</v>
      </c>
      <c r="AQ552" t="s">
        <v>2307</v>
      </c>
    </row>
    <row r="553" spans="42:43" x14ac:dyDescent="0.3">
      <c r="AP553">
        <v>20</v>
      </c>
      <c r="AQ553" t="s">
        <v>2308</v>
      </c>
    </row>
    <row r="554" spans="42:43" x14ac:dyDescent="0.3">
      <c r="AP554">
        <v>20</v>
      </c>
      <c r="AQ554" t="s">
        <v>2309</v>
      </c>
    </row>
    <row r="555" spans="42:43" x14ac:dyDescent="0.3">
      <c r="AP555">
        <v>20</v>
      </c>
      <c r="AQ555" t="s">
        <v>2310</v>
      </c>
    </row>
    <row r="556" spans="42:43" x14ac:dyDescent="0.3">
      <c r="AP556">
        <v>20</v>
      </c>
      <c r="AQ556" t="s">
        <v>2311</v>
      </c>
    </row>
    <row r="557" spans="42:43" x14ac:dyDescent="0.3">
      <c r="AP557">
        <v>20</v>
      </c>
      <c r="AQ557" t="s">
        <v>2312</v>
      </c>
    </row>
    <row r="558" spans="42:43" x14ac:dyDescent="0.3">
      <c r="AP558">
        <v>20</v>
      </c>
      <c r="AQ558" t="s">
        <v>2313</v>
      </c>
    </row>
    <row r="559" spans="42:43" x14ac:dyDescent="0.3">
      <c r="AP559">
        <v>20</v>
      </c>
      <c r="AQ559" t="s">
        <v>2314</v>
      </c>
    </row>
    <row r="560" spans="42:43" x14ac:dyDescent="0.3">
      <c r="AP560">
        <v>20</v>
      </c>
      <c r="AQ560" t="s">
        <v>2315</v>
      </c>
    </row>
    <row r="561" spans="42:43" x14ac:dyDescent="0.3">
      <c r="AP561">
        <v>20</v>
      </c>
      <c r="AQ561" t="s">
        <v>2316</v>
      </c>
    </row>
    <row r="562" spans="42:43" x14ac:dyDescent="0.3">
      <c r="AP562">
        <v>20</v>
      </c>
      <c r="AQ562" t="s">
        <v>2317</v>
      </c>
    </row>
    <row r="563" spans="42:43" x14ac:dyDescent="0.3">
      <c r="AP563">
        <v>20</v>
      </c>
      <c r="AQ563" t="s">
        <v>1437</v>
      </c>
    </row>
    <row r="564" spans="42:43" x14ac:dyDescent="0.3">
      <c r="AP564">
        <v>20</v>
      </c>
      <c r="AQ564" t="s">
        <v>2318</v>
      </c>
    </row>
    <row r="565" spans="42:43" x14ac:dyDescent="0.3">
      <c r="AP565">
        <v>20</v>
      </c>
      <c r="AQ565" t="s">
        <v>2319</v>
      </c>
    </row>
    <row r="566" spans="42:43" x14ac:dyDescent="0.3">
      <c r="AP566">
        <v>20</v>
      </c>
      <c r="AQ566" t="s">
        <v>2320</v>
      </c>
    </row>
    <row r="567" spans="42:43" x14ac:dyDescent="0.3">
      <c r="AP567">
        <v>20</v>
      </c>
      <c r="AQ567" t="s">
        <v>2321</v>
      </c>
    </row>
    <row r="568" spans="42:43" x14ac:dyDescent="0.3">
      <c r="AP568">
        <v>20</v>
      </c>
      <c r="AQ568" t="s">
        <v>2322</v>
      </c>
    </row>
    <row r="569" spans="42:43" x14ac:dyDescent="0.3">
      <c r="AP569">
        <v>20</v>
      </c>
      <c r="AQ569" t="s">
        <v>2323</v>
      </c>
    </row>
    <row r="570" spans="42:43" x14ac:dyDescent="0.3">
      <c r="AP570">
        <v>20</v>
      </c>
      <c r="AQ570" t="s">
        <v>2324</v>
      </c>
    </row>
    <row r="571" spans="42:43" x14ac:dyDescent="0.3">
      <c r="AP571">
        <v>20</v>
      </c>
      <c r="AQ571" t="s">
        <v>2325</v>
      </c>
    </row>
    <row r="572" spans="42:43" x14ac:dyDescent="0.3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D12" sqref="D12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200" t="s">
        <v>487</v>
      </c>
      <c r="B1" s="200"/>
      <c r="C1" s="200"/>
      <c r="D1" s="200"/>
      <c r="E1" s="200"/>
      <c r="F1" s="200"/>
      <c r="G1" s="111"/>
    </row>
    <row r="2" spans="1:7" x14ac:dyDescent="0.3">
      <c r="A2" s="188" t="str">
        <f>ENTE_PUBLICO</f>
        <v>ORGANISMO, Gobierno del Estado de Guanajuato</v>
      </c>
      <c r="B2" s="189"/>
      <c r="C2" s="189"/>
      <c r="D2" s="189"/>
      <c r="E2" s="189"/>
      <c r="F2" s="190"/>
    </row>
    <row r="3" spans="1:7" x14ac:dyDescent="0.3">
      <c r="A3" s="197" t="s">
        <v>488</v>
      </c>
      <c r="B3" s="198"/>
      <c r="C3" s="198"/>
      <c r="D3" s="198"/>
      <c r="E3" s="198"/>
      <c r="F3" s="199"/>
    </row>
    <row r="4" spans="1:7" ht="28.8" x14ac:dyDescent="0.3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3">
      <c r="A5" s="136" t="s">
        <v>494</v>
      </c>
      <c r="B5" s="5"/>
      <c r="C5" s="5"/>
      <c r="D5" s="5"/>
      <c r="E5" s="5"/>
      <c r="F5" s="5"/>
    </row>
    <row r="6" spans="1:7" x14ac:dyDescent="0.3">
      <c r="A6" s="137" t="s">
        <v>495</v>
      </c>
      <c r="B6" s="60" t="s">
        <v>3355</v>
      </c>
      <c r="C6" s="60"/>
      <c r="D6" s="60" t="s">
        <v>3355</v>
      </c>
      <c r="E6" s="60" t="s">
        <v>3355</v>
      </c>
      <c r="F6" s="60" t="s">
        <v>3355</v>
      </c>
    </row>
    <row r="7" spans="1:7" x14ac:dyDescent="0.3">
      <c r="A7" s="137" t="s">
        <v>496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497</v>
      </c>
      <c r="B9" s="54"/>
      <c r="C9" s="54"/>
      <c r="D9" s="54"/>
      <c r="E9" s="54"/>
      <c r="F9" s="54"/>
    </row>
    <row r="10" spans="1:7" x14ac:dyDescent="0.3">
      <c r="A10" s="137" t="s">
        <v>498</v>
      </c>
      <c r="B10" s="60"/>
      <c r="C10" s="60"/>
      <c r="D10" s="60"/>
      <c r="E10" s="60"/>
      <c r="F10" s="60"/>
    </row>
    <row r="11" spans="1:7" x14ac:dyDescent="0.3">
      <c r="A11" s="139" t="s">
        <v>499</v>
      </c>
      <c r="B11" s="60">
        <v>74</v>
      </c>
      <c r="C11" s="60"/>
      <c r="D11" s="60"/>
      <c r="E11" s="60"/>
      <c r="F11" s="60"/>
    </row>
    <row r="12" spans="1:7" x14ac:dyDescent="0.3">
      <c r="A12" s="139" t="s">
        <v>500</v>
      </c>
      <c r="B12" s="60">
        <v>19</v>
      </c>
      <c r="C12" s="60"/>
      <c r="D12" s="60"/>
      <c r="E12" s="60"/>
      <c r="F12" s="60"/>
    </row>
    <row r="13" spans="1:7" x14ac:dyDescent="0.3">
      <c r="A13" s="139" t="s">
        <v>501</v>
      </c>
      <c r="B13" s="60">
        <v>44</v>
      </c>
      <c r="C13" s="60"/>
      <c r="D13" s="60"/>
      <c r="E13" s="60"/>
      <c r="F13" s="60"/>
    </row>
    <row r="14" spans="1:7" x14ac:dyDescent="0.3">
      <c r="A14" s="137" t="s">
        <v>502</v>
      </c>
      <c r="B14" s="60"/>
      <c r="C14" s="60"/>
      <c r="D14" s="60"/>
      <c r="E14" s="60"/>
      <c r="F14" s="60"/>
    </row>
    <row r="15" spans="1:7" x14ac:dyDescent="0.3">
      <c r="A15" s="139" t="s">
        <v>499</v>
      </c>
      <c r="B15" s="60">
        <v>95</v>
      </c>
      <c r="C15" s="60"/>
      <c r="D15" s="60"/>
      <c r="E15" s="60"/>
      <c r="F15" s="60"/>
    </row>
    <row r="16" spans="1:7" x14ac:dyDescent="0.3">
      <c r="A16" s="139" t="s">
        <v>500</v>
      </c>
      <c r="B16" s="60">
        <v>67</v>
      </c>
      <c r="C16" s="60"/>
      <c r="D16" s="60"/>
      <c r="E16" s="60"/>
      <c r="F16" s="60"/>
    </row>
    <row r="17" spans="1:6" x14ac:dyDescent="0.3">
      <c r="A17" s="139" t="s">
        <v>501</v>
      </c>
      <c r="B17" s="60">
        <v>79</v>
      </c>
      <c r="C17" s="60"/>
      <c r="D17" s="60"/>
      <c r="E17" s="60"/>
      <c r="F17" s="60"/>
    </row>
    <row r="18" spans="1:6" x14ac:dyDescent="0.3">
      <c r="A18" s="137" t="s">
        <v>503</v>
      </c>
      <c r="B18" s="144"/>
      <c r="C18" s="60"/>
      <c r="D18" s="60"/>
      <c r="E18" s="60"/>
      <c r="F18" s="60"/>
    </row>
    <row r="19" spans="1:6" x14ac:dyDescent="0.3">
      <c r="A19" s="137" t="s">
        <v>504</v>
      </c>
      <c r="B19" s="60">
        <v>9</v>
      </c>
      <c r="C19" s="60"/>
      <c r="D19" s="60"/>
      <c r="E19" s="60"/>
      <c r="F19" s="60"/>
    </row>
    <row r="20" spans="1:6" x14ac:dyDescent="0.3">
      <c r="A20" s="137" t="s">
        <v>505</v>
      </c>
      <c r="B20" s="145">
        <v>0</v>
      </c>
      <c r="C20" s="145"/>
      <c r="D20" s="145"/>
      <c r="E20" s="145"/>
      <c r="F20" s="145"/>
    </row>
    <row r="21" spans="1:6" x14ac:dyDescent="0.3">
      <c r="A21" s="137" t="s">
        <v>506</v>
      </c>
      <c r="B21" s="145">
        <v>0</v>
      </c>
      <c r="C21" s="145"/>
      <c r="D21" s="145"/>
      <c r="E21" s="145"/>
      <c r="F21" s="145"/>
    </row>
    <row r="22" spans="1:6" x14ac:dyDescent="0.3">
      <c r="A22" s="64" t="s">
        <v>507</v>
      </c>
      <c r="B22" s="145">
        <v>0</v>
      </c>
      <c r="C22" s="145"/>
      <c r="D22" s="145"/>
      <c r="E22" s="145"/>
      <c r="F22" s="145"/>
    </row>
    <row r="23" spans="1:6" x14ac:dyDescent="0.3">
      <c r="A23" s="64" t="s">
        <v>508</v>
      </c>
      <c r="B23" s="145"/>
      <c r="C23" s="145"/>
      <c r="D23" s="145"/>
      <c r="E23" s="145"/>
      <c r="F23" s="145"/>
    </row>
    <row r="24" spans="1:6" x14ac:dyDescent="0.3">
      <c r="A24" s="64" t="s">
        <v>509</v>
      </c>
      <c r="B24" s="60">
        <v>65</v>
      </c>
      <c r="C24" s="60"/>
      <c r="D24" s="60"/>
      <c r="E24" s="60"/>
      <c r="F24" s="60"/>
    </row>
    <row r="25" spans="1:6" x14ac:dyDescent="0.3">
      <c r="A25" s="137" t="s">
        <v>510</v>
      </c>
      <c r="B25" s="60">
        <v>75.2</v>
      </c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511</v>
      </c>
      <c r="B27" s="54"/>
      <c r="C27" s="54"/>
      <c r="D27" s="54"/>
      <c r="E27" s="54"/>
      <c r="F27" s="54"/>
    </row>
    <row r="28" spans="1:6" x14ac:dyDescent="0.3">
      <c r="A28" s="137" t="s">
        <v>512</v>
      </c>
      <c r="B28" s="60">
        <v>0</v>
      </c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513</v>
      </c>
      <c r="B30" s="54"/>
      <c r="C30" s="54"/>
      <c r="D30" s="54"/>
      <c r="E30" s="54"/>
      <c r="F30" s="54"/>
    </row>
    <row r="31" spans="1:6" x14ac:dyDescent="0.3">
      <c r="A31" s="137" t="s">
        <v>498</v>
      </c>
      <c r="B31" s="60">
        <v>442</v>
      </c>
      <c r="C31" s="60"/>
      <c r="D31" s="60"/>
      <c r="E31" s="60"/>
      <c r="F31" s="60"/>
    </row>
    <row r="32" spans="1:6" x14ac:dyDescent="0.3">
      <c r="A32" s="137" t="s">
        <v>502</v>
      </c>
      <c r="B32" s="60">
        <v>5</v>
      </c>
      <c r="C32" s="60"/>
      <c r="D32" s="60"/>
      <c r="E32" s="60"/>
      <c r="F32" s="60"/>
    </row>
    <row r="33" spans="1:6" x14ac:dyDescent="0.3">
      <c r="A33" s="137" t="s">
        <v>514</v>
      </c>
      <c r="B33" s="60">
        <v>0</v>
      </c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515</v>
      </c>
      <c r="B35" s="54"/>
      <c r="C35" s="54"/>
      <c r="D35" s="54"/>
      <c r="E35" s="54"/>
      <c r="F35" s="54"/>
    </row>
    <row r="36" spans="1:6" x14ac:dyDescent="0.3">
      <c r="A36" s="137" t="s">
        <v>516</v>
      </c>
      <c r="B36" s="60">
        <v>3143.78</v>
      </c>
      <c r="C36" s="60"/>
      <c r="D36" s="60"/>
      <c r="E36" s="60"/>
      <c r="F36" s="60"/>
    </row>
    <row r="37" spans="1:6" x14ac:dyDescent="0.3">
      <c r="A37" s="137" t="s">
        <v>517</v>
      </c>
      <c r="B37" s="60">
        <v>3143.78</v>
      </c>
      <c r="C37" s="60"/>
      <c r="D37" s="60"/>
      <c r="E37" s="60"/>
      <c r="F37" s="60"/>
    </row>
    <row r="38" spans="1:6" x14ac:dyDescent="0.3">
      <c r="A38" s="137" t="s">
        <v>518</v>
      </c>
      <c r="B38" s="60">
        <v>3143.78</v>
      </c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519</v>
      </c>
      <c r="B40" s="60">
        <v>0</v>
      </c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520</v>
      </c>
      <c r="B42" s="54"/>
      <c r="C42" s="54"/>
      <c r="D42" s="54"/>
      <c r="E42" s="54"/>
      <c r="F42" s="54"/>
    </row>
    <row r="43" spans="1:6" x14ac:dyDescent="0.3">
      <c r="A43" s="137" t="s">
        <v>521</v>
      </c>
      <c r="B43" s="60">
        <v>1491970.98</v>
      </c>
      <c r="C43" s="60"/>
      <c r="D43" s="60"/>
      <c r="E43" s="60"/>
      <c r="F43" s="60"/>
    </row>
    <row r="44" spans="1:6" x14ac:dyDescent="0.3">
      <c r="A44" s="137" t="s">
        <v>522</v>
      </c>
      <c r="B44" s="60">
        <v>4291503.2699999996</v>
      </c>
      <c r="C44" s="60"/>
      <c r="D44" s="60"/>
      <c r="E44" s="60"/>
      <c r="F44" s="60"/>
    </row>
    <row r="45" spans="1:6" x14ac:dyDescent="0.3">
      <c r="A45" s="137" t="s">
        <v>523</v>
      </c>
      <c r="B45" s="60">
        <v>294024.43</v>
      </c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524</v>
      </c>
      <c r="B47" s="54"/>
      <c r="C47" s="54"/>
      <c r="D47" s="54"/>
      <c r="E47" s="54"/>
      <c r="F47" s="54"/>
    </row>
    <row r="48" spans="1:6" x14ac:dyDescent="0.3">
      <c r="A48" s="64" t="s">
        <v>522</v>
      </c>
      <c r="B48" s="145">
        <v>2.3E-2</v>
      </c>
      <c r="C48" s="145"/>
      <c r="D48" s="145"/>
      <c r="E48" s="145"/>
      <c r="F48" s="145"/>
    </row>
    <row r="49" spans="1:6" x14ac:dyDescent="0.3">
      <c r="A49" s="64" t="s">
        <v>523</v>
      </c>
      <c r="B49" s="145">
        <v>1.4999999999999999E-2</v>
      </c>
      <c r="C49" s="145"/>
      <c r="D49" s="145"/>
      <c r="E49" s="145"/>
      <c r="F49" s="145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525</v>
      </c>
      <c r="B51" s="54"/>
      <c r="C51" s="54"/>
      <c r="D51" s="54"/>
      <c r="E51" s="54"/>
      <c r="F51" s="54"/>
    </row>
    <row r="52" spans="1:6" x14ac:dyDescent="0.3">
      <c r="A52" s="137" t="s">
        <v>522</v>
      </c>
      <c r="B52" s="60">
        <v>2161801.39</v>
      </c>
      <c r="C52" s="60"/>
      <c r="D52" s="60"/>
      <c r="E52" s="60"/>
      <c r="F52" s="60"/>
    </row>
    <row r="53" spans="1:6" x14ac:dyDescent="0.3">
      <c r="A53" s="137" t="s">
        <v>523</v>
      </c>
      <c r="B53" s="60">
        <v>1475977.53</v>
      </c>
      <c r="C53" s="60"/>
      <c r="D53" s="60"/>
      <c r="E53" s="60"/>
      <c r="F53" s="60"/>
    </row>
    <row r="54" spans="1:6" x14ac:dyDescent="0.3">
      <c r="A54" s="137" t="s">
        <v>526</v>
      </c>
      <c r="B54" s="60">
        <v>0</v>
      </c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527</v>
      </c>
      <c r="B56" s="54"/>
      <c r="C56" s="54"/>
      <c r="D56" s="54"/>
      <c r="E56" s="54"/>
      <c r="F56" s="54"/>
    </row>
    <row r="57" spans="1:6" x14ac:dyDescent="0.3">
      <c r="A57" s="137" t="s">
        <v>522</v>
      </c>
      <c r="B57" s="60">
        <v>-4291503.2699999996</v>
      </c>
      <c r="C57" s="60"/>
      <c r="D57" s="60"/>
      <c r="E57" s="60"/>
      <c r="F57" s="60"/>
    </row>
    <row r="58" spans="1:6" x14ac:dyDescent="0.3">
      <c r="A58" s="137" t="s">
        <v>523</v>
      </c>
      <c r="B58" s="60">
        <v>-294024.43</v>
      </c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528</v>
      </c>
      <c r="B60" s="54"/>
      <c r="C60" s="54"/>
      <c r="D60" s="54"/>
      <c r="E60" s="54"/>
      <c r="F60" s="54"/>
    </row>
    <row r="61" spans="1:6" x14ac:dyDescent="0.3">
      <c r="A61" s="137" t="s">
        <v>529</v>
      </c>
      <c r="B61" s="60">
        <v>2021</v>
      </c>
      <c r="C61" s="60"/>
      <c r="D61" s="60"/>
      <c r="E61" s="60"/>
      <c r="F61" s="60"/>
    </row>
    <row r="62" spans="1:6" x14ac:dyDescent="0.3">
      <c r="A62" s="137" t="s">
        <v>530</v>
      </c>
      <c r="B62" s="146">
        <v>7.0000000000000007E-2</v>
      </c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531</v>
      </c>
      <c r="B64" s="54"/>
      <c r="C64" s="54"/>
      <c r="D64" s="54"/>
      <c r="E64" s="54"/>
      <c r="F64" s="54"/>
    </row>
    <row r="65" spans="1:6" x14ac:dyDescent="0.3">
      <c r="A65" s="137" t="s">
        <v>532</v>
      </c>
      <c r="B65" s="60">
        <v>2021</v>
      </c>
      <c r="C65" s="60"/>
      <c r="D65" s="60"/>
      <c r="E65" s="60"/>
      <c r="F65" s="60"/>
    </row>
    <row r="66" spans="1:6" x14ac:dyDescent="0.3">
      <c r="A66" s="137" t="s">
        <v>533</v>
      </c>
      <c r="B66" s="60" t="s">
        <v>3356</v>
      </c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 t="str">
        <f>'Formato 8'!B6</f>
        <v>X</v>
      </c>
      <c r="Q3" s="18">
        <f>'Formato 8'!C6</f>
        <v>0</v>
      </c>
      <c r="R3" s="18" t="str">
        <f>'Formato 8'!D6</f>
        <v>X</v>
      </c>
      <c r="S3" s="18" t="str">
        <f>'Formato 8'!E6</f>
        <v>X</v>
      </c>
      <c r="T3" s="18" t="str">
        <f>'Formato 8'!F6</f>
        <v>X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74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19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44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95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67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79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9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65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75.2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442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5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3143.78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3143.78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3143.78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1491970.98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4291503.2699999996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294024.43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2.3E-2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1.4999999999999999E-2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2161801.39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1475977.53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-4291503.2699999996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-294024.43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2021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7.0000000000000007E-2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2021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 t="str">
        <f>'Formato 8'!B66</f>
        <v>ADEVARAN SERVICIOS EMPRESARARIALES SA DE CV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topLeftCell="B1" zoomScale="90" zoomScaleNormal="90" workbookViewId="0">
      <selection activeCell="E68" sqref="E68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200" t="s">
        <v>537</v>
      </c>
      <c r="B1" s="200"/>
      <c r="C1" s="200"/>
      <c r="D1" s="200"/>
      <c r="E1" s="200"/>
      <c r="F1" s="200"/>
    </row>
    <row r="2" spans="1:6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90"/>
    </row>
    <row r="3" spans="1:6" x14ac:dyDescent="0.3">
      <c r="A3" s="191" t="s">
        <v>117</v>
      </c>
      <c r="B3" s="192"/>
      <c r="C3" s="192"/>
      <c r="D3" s="192"/>
      <c r="E3" s="192"/>
      <c r="F3" s="193"/>
    </row>
    <row r="4" spans="1:6" x14ac:dyDescent="0.3">
      <c r="A4" s="194" t="str">
        <f>PERIODO_INFORME</f>
        <v>Al 31 de diciembre de 2020 y al 31 de diciembre de 2021 (b)</v>
      </c>
      <c r="B4" s="195"/>
      <c r="C4" s="195"/>
      <c r="D4" s="195"/>
      <c r="E4" s="195"/>
      <c r="F4" s="196"/>
    </row>
    <row r="5" spans="1:6" x14ac:dyDescent="0.3">
      <c r="A5" s="197" t="s">
        <v>118</v>
      </c>
      <c r="B5" s="198"/>
      <c r="C5" s="198"/>
      <c r="D5" s="198"/>
      <c r="E5" s="198"/>
      <c r="F5" s="199"/>
    </row>
    <row r="6" spans="1:6" s="3" customFormat="1" ht="28.8" x14ac:dyDescent="0.3">
      <c r="A6" s="133" t="s">
        <v>3277</v>
      </c>
      <c r="B6" s="134" t="str">
        <f>ANIO</f>
        <v>2021 (d)</v>
      </c>
      <c r="C6" s="131" t="str">
        <f>ULTIMO</f>
        <v>31 de diciembre de 2020 (e)</v>
      </c>
      <c r="D6" s="135" t="s">
        <v>0</v>
      </c>
      <c r="E6" s="134" t="str">
        <f>ANIO</f>
        <v>2021 (d)</v>
      </c>
      <c r="F6" s="131" t="str">
        <f>ULTIMO</f>
        <v>31 de diciembre de 2020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108913738.78</v>
      </c>
      <c r="C9" s="60">
        <f>SUM(C10:C16)</f>
        <v>102853759.34999999</v>
      </c>
      <c r="D9" s="100" t="s">
        <v>54</v>
      </c>
      <c r="E9" s="60">
        <f>SUM(E10:E18)</f>
        <v>61439477.349999994</v>
      </c>
      <c r="F9" s="60">
        <f>SUM(F10:F18)</f>
        <v>98077986.530000016</v>
      </c>
    </row>
    <row r="10" spans="1:6" x14ac:dyDescent="0.3">
      <c r="A10" s="96" t="s">
        <v>4</v>
      </c>
      <c r="B10" s="167">
        <v>77144.44</v>
      </c>
      <c r="C10" s="167">
        <v>42460</v>
      </c>
      <c r="D10" s="101" t="s">
        <v>55</v>
      </c>
      <c r="E10" s="148">
        <v>9540280.9800000004</v>
      </c>
      <c r="F10" s="148">
        <v>4220871.58</v>
      </c>
    </row>
    <row r="11" spans="1:6" x14ac:dyDescent="0.3">
      <c r="A11" s="96" t="s">
        <v>5</v>
      </c>
      <c r="B11" s="167">
        <v>108836594.34</v>
      </c>
      <c r="C11" s="167">
        <v>98839965.209999993</v>
      </c>
      <c r="D11" s="101" t="s">
        <v>56</v>
      </c>
      <c r="E11" s="148">
        <v>13125507.73</v>
      </c>
      <c r="F11" s="148">
        <v>17420764.82</v>
      </c>
    </row>
    <row r="12" spans="1:6" x14ac:dyDescent="0.3">
      <c r="A12" s="96" t="s">
        <v>6</v>
      </c>
      <c r="B12" s="166"/>
      <c r="C12" s="166"/>
      <c r="D12" s="101" t="s">
        <v>57</v>
      </c>
      <c r="E12" s="148">
        <v>16316080.73</v>
      </c>
      <c r="F12" s="148">
        <v>49704092.770000003</v>
      </c>
    </row>
    <row r="13" spans="1:6" x14ac:dyDescent="0.3">
      <c r="A13" s="96" t="s">
        <v>7</v>
      </c>
      <c r="B13" s="166"/>
      <c r="C13" s="166"/>
      <c r="D13" s="101" t="s">
        <v>58</v>
      </c>
      <c r="E13" s="148">
        <v>40000</v>
      </c>
      <c r="F13" s="148">
        <v>0</v>
      </c>
    </row>
    <row r="14" spans="1:6" x14ac:dyDescent="0.3">
      <c r="A14" s="96" t="s">
        <v>8</v>
      </c>
      <c r="B14" s="166"/>
      <c r="C14" s="166"/>
      <c r="D14" s="101" t="s">
        <v>59</v>
      </c>
      <c r="E14" s="148">
        <v>69377.2</v>
      </c>
      <c r="F14" s="148">
        <v>1371503.51</v>
      </c>
    </row>
    <row r="15" spans="1:6" x14ac:dyDescent="0.3">
      <c r="A15" s="96" t="s">
        <v>9</v>
      </c>
      <c r="B15" s="167">
        <v>0</v>
      </c>
      <c r="C15" s="167">
        <v>3971334.14</v>
      </c>
      <c r="D15" s="101" t="s">
        <v>60</v>
      </c>
      <c r="E15" s="148">
        <v>0</v>
      </c>
      <c r="F15" s="148">
        <v>0</v>
      </c>
    </row>
    <row r="16" spans="1:6" x14ac:dyDescent="0.3">
      <c r="A16" s="96" t="s">
        <v>10</v>
      </c>
      <c r="B16" s="166"/>
      <c r="C16" s="166"/>
      <c r="D16" s="101" t="s">
        <v>61</v>
      </c>
      <c r="E16" s="148">
        <v>15072246.300000001</v>
      </c>
      <c r="F16" s="148">
        <v>21335696.43</v>
      </c>
    </row>
    <row r="17" spans="1:6" x14ac:dyDescent="0.3">
      <c r="A17" s="95" t="s">
        <v>11</v>
      </c>
      <c r="B17" s="60">
        <f>SUM(B18:B24)</f>
        <v>61809598.700000003</v>
      </c>
      <c r="C17" s="60">
        <f>SUM(C18:C24)</f>
        <v>119147533.18000001</v>
      </c>
      <c r="D17" s="101" t="s">
        <v>62</v>
      </c>
      <c r="E17" s="149"/>
      <c r="F17" s="149"/>
    </row>
    <row r="18" spans="1:6" x14ac:dyDescent="0.3">
      <c r="A18" s="97" t="s">
        <v>12</v>
      </c>
      <c r="B18" s="169">
        <v>30586239.300000001</v>
      </c>
      <c r="C18" s="169">
        <v>50587448.759999998</v>
      </c>
      <c r="D18" s="101" t="s">
        <v>63</v>
      </c>
      <c r="E18" s="148">
        <v>7275984.4100000001</v>
      </c>
      <c r="F18" s="148">
        <v>4025057.42</v>
      </c>
    </row>
    <row r="19" spans="1:6" x14ac:dyDescent="0.3">
      <c r="A19" s="97" t="s">
        <v>13</v>
      </c>
      <c r="B19" s="169">
        <v>0</v>
      </c>
      <c r="C19" s="169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169">
        <v>32515.38</v>
      </c>
      <c r="C20" s="169">
        <v>92522.77</v>
      </c>
      <c r="D20" s="101" t="s">
        <v>65</v>
      </c>
      <c r="E20" s="148">
        <v>0</v>
      </c>
      <c r="F20" s="148">
        <v>0</v>
      </c>
    </row>
    <row r="21" spans="1:6" x14ac:dyDescent="0.3">
      <c r="A21" s="97" t="s">
        <v>15</v>
      </c>
      <c r="B21" s="169">
        <v>0</v>
      </c>
      <c r="C21" s="169">
        <v>0</v>
      </c>
      <c r="D21" s="101" t="s">
        <v>66</v>
      </c>
      <c r="E21" s="148">
        <v>0</v>
      </c>
      <c r="F21" s="148">
        <v>0</v>
      </c>
    </row>
    <row r="22" spans="1:6" x14ac:dyDescent="0.3">
      <c r="A22" s="97" t="s">
        <v>16</v>
      </c>
      <c r="B22" s="169">
        <v>64900</v>
      </c>
      <c r="C22" s="169">
        <v>72900</v>
      </c>
      <c r="D22" s="101" t="s">
        <v>67</v>
      </c>
      <c r="E22" s="148">
        <v>0</v>
      </c>
      <c r="F22" s="148">
        <v>0</v>
      </c>
    </row>
    <row r="23" spans="1:6" x14ac:dyDescent="0.3">
      <c r="A23" s="97" t="s">
        <v>17</v>
      </c>
      <c r="B23" s="168"/>
      <c r="C23" s="168"/>
      <c r="D23" s="100" t="s">
        <v>68</v>
      </c>
      <c r="E23" s="60">
        <f>E24+E25</f>
        <v>330292.61</v>
      </c>
      <c r="F23" s="60">
        <f>F24+F25</f>
        <v>0</v>
      </c>
    </row>
    <row r="24" spans="1:6" x14ac:dyDescent="0.3">
      <c r="A24" s="97" t="s">
        <v>18</v>
      </c>
      <c r="B24" s="169">
        <v>31125944.02</v>
      </c>
      <c r="C24" s="169">
        <v>68394661.650000006</v>
      </c>
      <c r="D24" s="101" t="s">
        <v>69</v>
      </c>
      <c r="E24" s="148">
        <v>330292.61</v>
      </c>
      <c r="F24" s="148">
        <v>0</v>
      </c>
    </row>
    <row r="25" spans="1:6" x14ac:dyDescent="0.3">
      <c r="A25" s="95" t="s">
        <v>19</v>
      </c>
      <c r="B25" s="60">
        <f>SUM(B26:B30)</f>
        <v>13705161.209999999</v>
      </c>
      <c r="C25" s="60">
        <f>SUM(C26:C30)</f>
        <v>23802917.020000003</v>
      </c>
      <c r="D25" s="101" t="s">
        <v>70</v>
      </c>
      <c r="E25" s="148">
        <v>0</v>
      </c>
      <c r="F25" s="148">
        <v>0</v>
      </c>
    </row>
    <row r="26" spans="1:6" x14ac:dyDescent="0.3">
      <c r="A26" s="97" t="s">
        <v>20</v>
      </c>
      <c r="B26" s="171">
        <v>25663.26</v>
      </c>
      <c r="C26" s="171">
        <v>25663.26</v>
      </c>
      <c r="D26" s="100" t="s">
        <v>71</v>
      </c>
      <c r="E26" s="148">
        <v>0</v>
      </c>
      <c r="F26" s="148">
        <v>0</v>
      </c>
    </row>
    <row r="27" spans="1:6" x14ac:dyDescent="0.3">
      <c r="A27" s="97" t="s">
        <v>21</v>
      </c>
      <c r="B27" s="170"/>
      <c r="C27" s="17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170"/>
      <c r="C28" s="170"/>
      <c r="D28" s="101" t="s">
        <v>73</v>
      </c>
      <c r="E28" s="148">
        <v>0</v>
      </c>
      <c r="F28" s="148">
        <v>0</v>
      </c>
    </row>
    <row r="29" spans="1:6" x14ac:dyDescent="0.3">
      <c r="A29" s="97" t="s">
        <v>23</v>
      </c>
      <c r="B29" s="171">
        <v>13679497.949999999</v>
      </c>
      <c r="C29" s="171">
        <v>23777253.760000002</v>
      </c>
      <c r="D29" s="101" t="s">
        <v>74</v>
      </c>
      <c r="E29" s="148">
        <v>0</v>
      </c>
      <c r="F29" s="148">
        <v>0</v>
      </c>
    </row>
    <row r="30" spans="1:6" x14ac:dyDescent="0.3">
      <c r="A30" s="97" t="s">
        <v>24</v>
      </c>
      <c r="B30" s="170"/>
      <c r="C30" s="170"/>
      <c r="D30" s="101" t="s">
        <v>75</v>
      </c>
      <c r="E30" s="148">
        <v>0</v>
      </c>
      <c r="F30" s="148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3513</v>
      </c>
      <c r="F31" s="60">
        <f>SUM(F32:F37)</f>
        <v>3513</v>
      </c>
    </row>
    <row r="32" spans="1:6" x14ac:dyDescent="0.3">
      <c r="A32" s="97" t="s">
        <v>26</v>
      </c>
      <c r="B32" s="60">
        <v>0</v>
      </c>
      <c r="C32" s="60">
        <v>0</v>
      </c>
      <c r="D32" s="101" t="s">
        <v>77</v>
      </c>
      <c r="E32" s="148">
        <v>3513</v>
      </c>
      <c r="F32" s="148">
        <v>3513</v>
      </c>
    </row>
    <row r="33" spans="1:6" x14ac:dyDescent="0.3">
      <c r="A33" s="97" t="s">
        <v>27</v>
      </c>
      <c r="B33" s="60">
        <v>0</v>
      </c>
      <c r="C33" s="60">
        <v>0</v>
      </c>
      <c r="D33" s="101" t="s">
        <v>78</v>
      </c>
      <c r="E33" s="60"/>
      <c r="F33" s="60"/>
    </row>
    <row r="34" spans="1:6" x14ac:dyDescent="0.3">
      <c r="A34" s="97" t="s">
        <v>28</v>
      </c>
      <c r="B34" s="60">
        <v>0</v>
      </c>
      <c r="C34" s="60">
        <v>0</v>
      </c>
      <c r="D34" s="101" t="s">
        <v>79</v>
      </c>
      <c r="E34" s="60"/>
      <c r="F34" s="60"/>
    </row>
    <row r="35" spans="1:6" x14ac:dyDescent="0.3">
      <c r="A35" s="97" t="s">
        <v>29</v>
      </c>
      <c r="B35" s="60">
        <v>0</v>
      </c>
      <c r="C35" s="60">
        <v>0</v>
      </c>
      <c r="D35" s="101" t="s">
        <v>80</v>
      </c>
      <c r="E35" s="60"/>
      <c r="F35" s="60"/>
    </row>
    <row r="36" spans="1:6" x14ac:dyDescent="0.3">
      <c r="A36" s="97" t="s">
        <v>30</v>
      </c>
      <c r="B36" s="60">
        <v>0</v>
      </c>
      <c r="C36" s="60">
        <v>0</v>
      </c>
      <c r="D36" s="101" t="s">
        <v>81</v>
      </c>
      <c r="E36" s="60"/>
      <c r="F36" s="60"/>
    </row>
    <row r="37" spans="1:6" x14ac:dyDescent="0.3">
      <c r="A37" s="95" t="s">
        <v>31</v>
      </c>
      <c r="B37" s="148">
        <v>108855.61</v>
      </c>
      <c r="C37" s="148">
        <v>110356.61</v>
      </c>
      <c r="D37" s="101" t="s">
        <v>82</v>
      </c>
      <c r="E37" s="60"/>
      <c r="F37" s="60"/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148">
        <v>0</v>
      </c>
      <c r="F39" s="148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148">
        <v>0</v>
      </c>
      <c r="F40" s="148">
        <v>0</v>
      </c>
    </row>
    <row r="41" spans="1:6" x14ac:dyDescent="0.3">
      <c r="A41" s="95" t="s">
        <v>34</v>
      </c>
      <c r="B41" s="60">
        <f>SUM(B42:B45)</f>
        <v>30991</v>
      </c>
      <c r="C41" s="60">
        <f>SUM(C42:C45)</f>
        <v>30991</v>
      </c>
      <c r="D41" s="101" t="s">
        <v>86</v>
      </c>
      <c r="E41" s="148">
        <v>0</v>
      </c>
      <c r="F41" s="148">
        <v>0</v>
      </c>
    </row>
    <row r="42" spans="1:6" x14ac:dyDescent="0.3">
      <c r="A42" s="97" t="s">
        <v>35</v>
      </c>
      <c r="B42" s="148">
        <v>30991</v>
      </c>
      <c r="C42" s="148">
        <v>30991</v>
      </c>
      <c r="D42" s="100" t="s">
        <v>87</v>
      </c>
      <c r="E42" s="60">
        <f>SUM(E43:E45)</f>
        <v>5007899.84</v>
      </c>
      <c r="F42" s="60">
        <f>SUM(F43:F45)</f>
        <v>8367609.5700000003</v>
      </c>
    </row>
    <row r="43" spans="1:6" x14ac:dyDescent="0.3">
      <c r="A43" s="97" t="s">
        <v>36</v>
      </c>
      <c r="B43" s="60">
        <v>0</v>
      </c>
      <c r="C43" s="60">
        <v>0</v>
      </c>
      <c r="D43" s="101" t="s">
        <v>88</v>
      </c>
      <c r="E43" s="148">
        <v>5007792.66</v>
      </c>
      <c r="F43" s="148">
        <v>8354608.8200000003</v>
      </c>
    </row>
    <row r="44" spans="1:6" x14ac:dyDescent="0.3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>
        <v>0</v>
      </c>
      <c r="C45" s="60">
        <v>0</v>
      </c>
      <c r="D45" s="101" t="s">
        <v>90</v>
      </c>
      <c r="E45" s="148">
        <v>107.18</v>
      </c>
      <c r="F45" s="148">
        <v>13000.75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150">
        <f>B9+B17+B25+B31+B37++B38+B41</f>
        <v>184568345.30000004</v>
      </c>
      <c r="C47" s="150">
        <f>C9+C17+C25+C31+C37++C38+C41</f>
        <v>245945557.16000003</v>
      </c>
      <c r="D47" s="99" t="s">
        <v>91</v>
      </c>
      <c r="E47" s="61">
        <f>E9+E19+E23+E26+E27+E31+E38+E42</f>
        <v>66781182.799999997</v>
      </c>
      <c r="F47" s="61">
        <f>F9+F19+F23+F26+F27+F31+F38+F42</f>
        <v>106449109.10000002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148">
        <v>0</v>
      </c>
      <c r="C50" s="148">
        <v>0</v>
      </c>
      <c r="D50" s="100" t="s">
        <v>93</v>
      </c>
      <c r="E50" s="148">
        <v>0</v>
      </c>
      <c r="F50" s="148">
        <v>0</v>
      </c>
    </row>
    <row r="51" spans="1:6" x14ac:dyDescent="0.3">
      <c r="A51" s="95" t="s">
        <v>42</v>
      </c>
      <c r="B51" s="148">
        <v>0</v>
      </c>
      <c r="C51" s="148">
        <v>0</v>
      </c>
      <c r="D51" s="100" t="s">
        <v>94</v>
      </c>
      <c r="E51" s="148">
        <v>0</v>
      </c>
      <c r="F51" s="148">
        <v>0</v>
      </c>
    </row>
    <row r="52" spans="1:6" x14ac:dyDescent="0.3">
      <c r="A52" s="95" t="s">
        <v>43</v>
      </c>
      <c r="B52" s="148">
        <v>274313239.93000001</v>
      </c>
      <c r="C52" s="148">
        <v>328859497.51999998</v>
      </c>
      <c r="D52" s="100" t="s">
        <v>95</v>
      </c>
      <c r="E52" s="148">
        <v>8834468.1500000004</v>
      </c>
      <c r="F52" s="148">
        <v>12230641.550000001</v>
      </c>
    </row>
    <row r="53" spans="1:6" x14ac:dyDescent="0.3">
      <c r="A53" s="95" t="s">
        <v>44</v>
      </c>
      <c r="B53" s="148">
        <v>158382057.08000001</v>
      </c>
      <c r="C53" s="148">
        <v>167829740.41999999</v>
      </c>
      <c r="D53" s="100" t="s">
        <v>96</v>
      </c>
      <c r="E53" s="148">
        <v>0</v>
      </c>
      <c r="F53" s="148">
        <v>0</v>
      </c>
    </row>
    <row r="54" spans="1:6" x14ac:dyDescent="0.3">
      <c r="A54" s="95" t="s">
        <v>45</v>
      </c>
      <c r="B54" s="148">
        <v>4799210.1100000003</v>
      </c>
      <c r="C54" s="148">
        <v>4482502.63</v>
      </c>
      <c r="D54" s="100" t="s">
        <v>97</v>
      </c>
      <c r="E54" s="148">
        <v>6243.66</v>
      </c>
      <c r="F54" s="148">
        <v>6243.66</v>
      </c>
    </row>
    <row r="55" spans="1:6" x14ac:dyDescent="0.3">
      <c r="A55" s="95" t="s">
        <v>46</v>
      </c>
      <c r="B55" s="148">
        <v>-137804369.25</v>
      </c>
      <c r="C55" s="148">
        <v>-123311753.01000001</v>
      </c>
      <c r="D55" s="37" t="s">
        <v>98</v>
      </c>
      <c r="E55" s="148">
        <v>0</v>
      </c>
      <c r="F55" s="148">
        <v>0</v>
      </c>
    </row>
    <row r="56" spans="1:6" x14ac:dyDescent="0.3">
      <c r="A56" s="95" t="s">
        <v>47</v>
      </c>
      <c r="B56" s="148">
        <v>96610</v>
      </c>
      <c r="C56" s="148">
        <v>96610</v>
      </c>
      <c r="D56" s="54"/>
      <c r="E56" s="54"/>
      <c r="F56" s="54"/>
    </row>
    <row r="57" spans="1:6" x14ac:dyDescent="0.3">
      <c r="A57" s="95" t="s">
        <v>48</v>
      </c>
      <c r="B57" s="148">
        <v>0</v>
      </c>
      <c r="C57" s="148">
        <v>0</v>
      </c>
      <c r="D57" s="99" t="s">
        <v>99</v>
      </c>
      <c r="E57" s="61">
        <f>SUM(E50:E55)</f>
        <v>8840711.8100000005</v>
      </c>
      <c r="F57" s="61">
        <f>SUM(F50:F55)</f>
        <v>12236885.210000001</v>
      </c>
    </row>
    <row r="58" spans="1:6" x14ac:dyDescent="0.3">
      <c r="A58" s="95" t="s">
        <v>49</v>
      </c>
      <c r="B58" s="148">
        <v>14616191.310000001</v>
      </c>
      <c r="C58" s="148">
        <v>14616191.310000001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75621894.609999999</v>
      </c>
      <c r="F59" s="61">
        <f>F47+F57</f>
        <v>118685994.31000003</v>
      </c>
    </row>
    <row r="60" spans="1:6" x14ac:dyDescent="0.3">
      <c r="A60" s="55" t="s">
        <v>50</v>
      </c>
      <c r="B60" s="61">
        <f>SUM(B50:B58)</f>
        <v>314402939.18000001</v>
      </c>
      <c r="C60" s="61">
        <f>SUM(C50:C58)</f>
        <v>392572788.86999995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498971284.48000002</v>
      </c>
      <c r="C62" s="61">
        <f>SUM(C47+C60)</f>
        <v>638518346.02999997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2303520</v>
      </c>
      <c r="F63" s="77">
        <f>SUM(F64:F66)</f>
        <v>0</v>
      </c>
    </row>
    <row r="64" spans="1:6" x14ac:dyDescent="0.3">
      <c r="A64" s="54"/>
      <c r="B64" s="54"/>
      <c r="C64" s="54"/>
      <c r="D64" s="103" t="s">
        <v>103</v>
      </c>
      <c r="E64" s="148">
        <v>0</v>
      </c>
      <c r="F64" s="148">
        <v>0</v>
      </c>
    </row>
    <row r="65" spans="1:6" x14ac:dyDescent="0.3">
      <c r="A65" s="54"/>
      <c r="B65" s="54"/>
      <c r="C65" s="54"/>
      <c r="D65" s="41" t="s">
        <v>104</v>
      </c>
      <c r="E65" s="148">
        <v>2303520</v>
      </c>
      <c r="F65" s="148">
        <v>0</v>
      </c>
    </row>
    <row r="66" spans="1:6" x14ac:dyDescent="0.3">
      <c r="A66" s="54"/>
      <c r="B66" s="54"/>
      <c r="C66" s="54"/>
      <c r="D66" s="103" t="s">
        <v>105</v>
      </c>
      <c r="E66" s="148">
        <v>0</v>
      </c>
      <c r="F66" s="148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421045869.87</v>
      </c>
      <c r="F68" s="77">
        <f>SUM(F69:F73)</f>
        <v>519832351.72000003</v>
      </c>
    </row>
    <row r="69" spans="1:6" x14ac:dyDescent="0.3">
      <c r="A69" s="12"/>
      <c r="B69" s="54"/>
      <c r="C69" s="54"/>
      <c r="D69" s="103" t="s">
        <v>107</v>
      </c>
      <c r="E69" s="172">
        <v>62532841.020000003</v>
      </c>
      <c r="F69" s="172">
        <v>122429356.06</v>
      </c>
    </row>
    <row r="70" spans="1:6" x14ac:dyDescent="0.3">
      <c r="A70" s="12"/>
      <c r="B70" s="54"/>
      <c r="C70" s="54"/>
      <c r="D70" s="103" t="s">
        <v>108</v>
      </c>
      <c r="E70" s="172">
        <v>308247563.74000001</v>
      </c>
      <c r="F70" s="172">
        <v>347137530.55000001</v>
      </c>
    </row>
    <row r="71" spans="1:6" x14ac:dyDescent="0.3">
      <c r="A71" s="12"/>
      <c r="B71" s="54"/>
      <c r="C71" s="54"/>
      <c r="D71" s="103" t="s">
        <v>109</v>
      </c>
      <c r="E71" s="172">
        <v>0</v>
      </c>
      <c r="F71" s="172">
        <v>0</v>
      </c>
    </row>
    <row r="72" spans="1:6" x14ac:dyDescent="0.3">
      <c r="A72" s="12"/>
      <c r="B72" s="54"/>
      <c r="C72" s="54"/>
      <c r="D72" s="103" t="s">
        <v>110</v>
      </c>
      <c r="E72" s="172">
        <v>50265465.109999999</v>
      </c>
      <c r="F72" s="172">
        <v>50265465.109999999</v>
      </c>
    </row>
    <row r="73" spans="1:6" x14ac:dyDescent="0.3">
      <c r="A73" s="12"/>
      <c r="B73" s="54"/>
      <c r="C73" s="54"/>
      <c r="D73" s="103" t="s">
        <v>111</v>
      </c>
      <c r="E73" s="172">
        <v>0</v>
      </c>
      <c r="F73" s="172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423349389.87</v>
      </c>
      <c r="F79" s="61">
        <f>F63+F68+F75</f>
        <v>519832351.72000003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498971284.48000002</v>
      </c>
      <c r="F81" s="61">
        <f>F59+F79</f>
        <v>638518346.03000009</v>
      </c>
    </row>
    <row r="82" spans="1:6" x14ac:dyDescent="0.3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108913738.78</v>
      </c>
      <c r="Q4" s="18">
        <f>'Formato 1'!C9</f>
        <v>102853759.34999999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77144.44</v>
      </c>
      <c r="Q5" s="18">
        <f>'Formato 1'!C10</f>
        <v>42460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108836594.34</v>
      </c>
      <c r="Q6" s="18">
        <f>'Formato 1'!C11</f>
        <v>98839965.209999993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3971334.14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61809598.700000003</v>
      </c>
      <c r="Q12" s="18">
        <f>'Formato 1'!C17</f>
        <v>119147533.18000001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30586239.300000001</v>
      </c>
      <c r="Q13" s="18">
        <f>'Formato 1'!C18</f>
        <v>50587448.759999998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32515.38</v>
      </c>
      <c r="Q15" s="18">
        <f>'Formato 1'!C20</f>
        <v>92522.77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64900</v>
      </c>
      <c r="Q17" s="18">
        <f>'Formato 1'!C22</f>
        <v>72900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31125944.02</v>
      </c>
      <c r="Q19" s="18">
        <f>'Formato 1'!C24</f>
        <v>68394661.650000006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13705161.209999999</v>
      </c>
      <c r="Q20" s="18">
        <f>'Formato 1'!C25</f>
        <v>23802917.020000003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25663.26</v>
      </c>
      <c r="Q21" s="18">
        <f>'Formato 1'!C26</f>
        <v>25663.26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13679497.949999999</v>
      </c>
      <c r="Q24" s="18">
        <f>'Formato 1'!C29</f>
        <v>23777253.760000002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108855.61</v>
      </c>
      <c r="Q32" s="18">
        <f>'Formato 1'!C37</f>
        <v>110356.61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108855.61</v>
      </c>
      <c r="Q33" s="18">
        <f>'Formato 1'!C37</f>
        <v>110356.61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30991</v>
      </c>
      <c r="Q37" s="18">
        <f>'Formato 1'!C41</f>
        <v>30991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30991</v>
      </c>
      <c r="Q38" s="18">
        <f>'Formato 1'!C42</f>
        <v>30991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184568345.30000004</v>
      </c>
      <c r="Q42" s="18">
        <f>'Formato 1'!C47</f>
        <v>245945557.16000003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274313239.93000001</v>
      </c>
      <c r="Q46">
        <f>'Formato 1'!C52</f>
        <v>328859497.51999998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158382057.08000001</v>
      </c>
      <c r="Q47">
        <f>'Formato 1'!C53</f>
        <v>167829740.41999999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4799210.1100000003</v>
      </c>
      <c r="Q48">
        <f>'Formato 1'!C54</f>
        <v>4482502.63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-137804369.25</v>
      </c>
      <c r="Q49">
        <f>'Formato 1'!C55</f>
        <v>-123311753.01000001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96610</v>
      </c>
      <c r="Q50">
        <f>'Formato 1'!C56</f>
        <v>96610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14616191.310000001</v>
      </c>
      <c r="Q52">
        <f>'Formato 1'!C58</f>
        <v>14616191.310000001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314402939.18000001</v>
      </c>
      <c r="Q53">
        <f>'Formato 1'!C60</f>
        <v>392572788.86999995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498971284.48000002</v>
      </c>
      <c r="Q54">
        <f>'Formato 1'!C62</f>
        <v>638518346.02999997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61439477.349999994</v>
      </c>
      <c r="Q57">
        <f>'Formato 1'!F9</f>
        <v>98077986.530000016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9540280.9800000004</v>
      </c>
      <c r="Q58">
        <f>'Formato 1'!F10</f>
        <v>4220871.58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13125507.73</v>
      </c>
      <c r="Q59">
        <f>'Formato 1'!F11</f>
        <v>17420764.82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16316080.73</v>
      </c>
      <c r="Q60">
        <f>'Formato 1'!F12</f>
        <v>49704092.770000003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40000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69377.2</v>
      </c>
      <c r="Q62">
        <f>'Formato 1'!F14</f>
        <v>1371503.51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15072246.300000001</v>
      </c>
      <c r="Q64">
        <f>'Formato 1'!F16</f>
        <v>21335696.43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7275984.4100000001</v>
      </c>
      <c r="Q66">
        <f>'Formato 1'!F18</f>
        <v>4025057.42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330292.61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330292.61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3513</v>
      </c>
      <c r="Q80">
        <f>'Formato 1'!F31</f>
        <v>3513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3513</v>
      </c>
      <c r="Q81">
        <f>'Formato 1'!F32</f>
        <v>3513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5007899.84</v>
      </c>
      <c r="Q91">
        <f>'Formato 1'!F42</f>
        <v>8367609.5700000003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5007792.66</v>
      </c>
      <c r="Q92">
        <f>'Formato 1'!F43</f>
        <v>8354608.8200000003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107.18</v>
      </c>
      <c r="Q94">
        <f>'Formato 1'!F45</f>
        <v>13000.75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66781182.799999997</v>
      </c>
      <c r="Q95">
        <f>'Formato 1'!F47</f>
        <v>106449109.10000002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8834468.1500000004</v>
      </c>
      <c r="Q99">
        <f>'Formato 1'!F52</f>
        <v>12230641.550000001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6243.66</v>
      </c>
      <c r="Q101">
        <f>'Formato 1'!F54</f>
        <v>6243.66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8840711.8100000005</v>
      </c>
      <c r="Q103">
        <f>'Formato 1'!F57</f>
        <v>12236885.210000001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75621894.609999999</v>
      </c>
      <c r="Q104">
        <f>'Formato 1'!F59</f>
        <v>118685994.31000003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2303520</v>
      </c>
      <c r="Q106">
        <f>'Formato 1'!F63</f>
        <v>0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0</v>
      </c>
      <c r="Q107">
        <f>'Formato 1'!F64</f>
        <v>0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2303520</v>
      </c>
      <c r="Q108">
        <f>'Formato 1'!F65</f>
        <v>0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421045869.87</v>
      </c>
      <c r="Q110">
        <f>'Formato 1'!F68</f>
        <v>519832351.72000003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62532841.020000003</v>
      </c>
      <c r="Q111">
        <f>'Formato 1'!F69</f>
        <v>122429356.06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308247563.74000001</v>
      </c>
      <c r="Q112">
        <f>'Formato 1'!F70</f>
        <v>347137530.55000001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50265465.109999999</v>
      </c>
      <c r="Q114">
        <f>'Formato 1'!F72</f>
        <v>50265465.109999999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423349389.87</v>
      </c>
      <c r="Q119">
        <f>'Formato 1'!F79</f>
        <v>519832351.72000003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498971284.48000002</v>
      </c>
      <c r="Q120">
        <f>'Formato 1'!F81</f>
        <v>638518346.03000009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22" zoomScale="90" zoomScaleNormal="90" workbookViewId="0">
      <selection activeCell="H39" sqref="H39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202" t="s">
        <v>536</v>
      </c>
      <c r="B1" s="202"/>
      <c r="C1" s="202"/>
      <c r="D1" s="202"/>
      <c r="E1" s="202"/>
      <c r="F1" s="202"/>
      <c r="G1" s="202"/>
      <c r="H1" s="202"/>
    </row>
    <row r="2" spans="1:9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89"/>
      <c r="G2" s="189"/>
      <c r="H2" s="190"/>
    </row>
    <row r="3" spans="1:9" x14ac:dyDescent="0.3">
      <c r="A3" s="191" t="s">
        <v>120</v>
      </c>
      <c r="B3" s="192"/>
      <c r="C3" s="192"/>
      <c r="D3" s="192"/>
      <c r="E3" s="192"/>
      <c r="F3" s="192"/>
      <c r="G3" s="192"/>
      <c r="H3" s="193"/>
    </row>
    <row r="4" spans="1:9" x14ac:dyDescent="0.3">
      <c r="A4" s="194" t="str">
        <f>PERIODO_INFORME</f>
        <v>Al 31 de diciembre de 2020 y al 31 de diciembre de 2021 (b)</v>
      </c>
      <c r="B4" s="195"/>
      <c r="C4" s="195"/>
      <c r="D4" s="195"/>
      <c r="E4" s="195"/>
      <c r="F4" s="195"/>
      <c r="G4" s="195"/>
      <c r="H4" s="196"/>
    </row>
    <row r="5" spans="1:9" x14ac:dyDescent="0.3">
      <c r="A5" s="197" t="s">
        <v>118</v>
      </c>
      <c r="B5" s="198"/>
      <c r="C5" s="198"/>
      <c r="D5" s="198"/>
      <c r="E5" s="198"/>
      <c r="F5" s="198"/>
      <c r="G5" s="198"/>
      <c r="H5" s="199"/>
    </row>
    <row r="6" spans="1:9" ht="43.2" x14ac:dyDescent="0.3">
      <c r="A6" s="104" t="s">
        <v>121</v>
      </c>
      <c r="B6" s="105" t="str">
        <f>ULTIMO_SALDO</f>
        <v>Saldo al 31 de diciembre de 2020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12230641.550000001</v>
      </c>
      <c r="C8" s="61">
        <f t="shared" ref="C8:H8" si="0">C9+C13</f>
        <v>0</v>
      </c>
      <c r="D8" s="61">
        <f t="shared" si="0"/>
        <v>3065880.79</v>
      </c>
      <c r="E8" s="61">
        <f t="shared" si="0"/>
        <v>0</v>
      </c>
      <c r="F8" s="61">
        <f>F9+F13</f>
        <v>9164760.7600000016</v>
      </c>
      <c r="G8" s="61">
        <f t="shared" si="0"/>
        <v>668690.82999999996</v>
      </c>
      <c r="H8" s="61">
        <f t="shared" si="0"/>
        <v>0</v>
      </c>
    </row>
    <row r="9" spans="1:9" x14ac:dyDescent="0.3">
      <c r="A9" s="107" t="s">
        <v>128</v>
      </c>
      <c r="B9" s="60">
        <v>0</v>
      </c>
      <c r="C9" s="60">
        <f t="shared" ref="C9:H9" si="1">SUM(C10:C12)</f>
        <v>0</v>
      </c>
      <c r="D9" s="60"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12230641.550000001</v>
      </c>
      <c r="C13" s="60">
        <f t="shared" ref="C13:H13" si="2">SUM(C14:C16)</f>
        <v>0</v>
      </c>
      <c r="D13" s="60">
        <f t="shared" si="2"/>
        <v>3065880.79</v>
      </c>
      <c r="E13" s="60">
        <f t="shared" si="2"/>
        <v>0</v>
      </c>
      <c r="F13" s="60">
        <f t="shared" si="2"/>
        <v>9164760.7600000016</v>
      </c>
      <c r="G13" s="60">
        <f t="shared" si="2"/>
        <v>668690.82999999996</v>
      </c>
      <c r="H13" s="60">
        <f t="shared" si="2"/>
        <v>0</v>
      </c>
    </row>
    <row r="14" spans="1:9" x14ac:dyDescent="0.3">
      <c r="A14" s="108" t="s">
        <v>133</v>
      </c>
      <c r="B14" s="148">
        <v>12230641.550000001</v>
      </c>
      <c r="C14" s="60">
        <v>0</v>
      </c>
      <c r="D14" s="152">
        <v>3065880.79</v>
      </c>
      <c r="E14" s="60">
        <v>0</v>
      </c>
      <c r="F14" s="151">
        <f>B14+C14-D14+E14</f>
        <v>9164760.7600000016</v>
      </c>
      <c r="G14" s="151">
        <v>668690.82999999996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12230641.550000001</v>
      </c>
      <c r="C20" s="61">
        <f t="shared" ref="C20:H20" si="3">C8+C18</f>
        <v>0</v>
      </c>
      <c r="D20" s="61">
        <f t="shared" si="3"/>
        <v>3065880.79</v>
      </c>
      <c r="E20" s="61">
        <f t="shared" si="3"/>
        <v>0</v>
      </c>
      <c r="F20" s="61">
        <f t="shared" si="3"/>
        <v>9164760.7600000016</v>
      </c>
      <c r="G20" s="61">
        <f t="shared" si="3"/>
        <v>668690.82999999996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3289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3290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201" t="s">
        <v>3293</v>
      </c>
      <c r="B33" s="201"/>
      <c r="C33" s="201"/>
      <c r="D33" s="201"/>
      <c r="E33" s="201"/>
      <c r="F33" s="201"/>
      <c r="G33" s="201"/>
      <c r="H33" s="201"/>
    </row>
    <row r="34" spans="1:8" ht="12" customHeight="1" x14ac:dyDescent="0.3">
      <c r="A34" s="201"/>
      <c r="B34" s="201"/>
      <c r="C34" s="201"/>
      <c r="D34" s="201"/>
      <c r="E34" s="201"/>
      <c r="F34" s="201"/>
      <c r="G34" s="201"/>
      <c r="H34" s="201"/>
    </row>
    <row r="35" spans="1:8" ht="12" customHeight="1" x14ac:dyDescent="0.3">
      <c r="A35" s="201"/>
      <c r="B35" s="201"/>
      <c r="C35" s="201"/>
      <c r="D35" s="201"/>
      <c r="E35" s="201"/>
      <c r="F35" s="201"/>
      <c r="G35" s="201"/>
      <c r="H35" s="201"/>
    </row>
    <row r="36" spans="1:8" ht="12" customHeight="1" x14ac:dyDescent="0.3">
      <c r="A36" s="201"/>
      <c r="B36" s="201"/>
      <c r="C36" s="201"/>
      <c r="D36" s="201"/>
      <c r="E36" s="201"/>
      <c r="F36" s="201"/>
      <c r="G36" s="201"/>
      <c r="H36" s="201"/>
    </row>
    <row r="37" spans="1:8" ht="12" customHeight="1" x14ac:dyDescent="0.3">
      <c r="A37" s="201"/>
      <c r="B37" s="201"/>
      <c r="C37" s="201"/>
      <c r="D37" s="201"/>
      <c r="E37" s="201"/>
      <c r="F37" s="201"/>
      <c r="G37" s="201"/>
      <c r="H37" s="201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678</v>
      </c>
      <c r="B45" s="6"/>
      <c r="C45" s="6"/>
      <c r="D45" s="6"/>
      <c r="E45" s="6"/>
      <c r="F45" s="6"/>
    </row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12230641.550000001</v>
      </c>
      <c r="Q3" s="18">
        <f>'Formato 2'!C8</f>
        <v>0</v>
      </c>
      <c r="R3" s="18">
        <f>'Formato 2'!D8</f>
        <v>3065880.79</v>
      </c>
      <c r="S3" s="18">
        <f>'Formato 2'!E8</f>
        <v>0</v>
      </c>
      <c r="T3" s="18">
        <f>'Formato 2'!F8</f>
        <v>9164760.7600000016</v>
      </c>
      <c r="U3" s="18">
        <f>'Formato 2'!G8</f>
        <v>668690.82999999996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12230641.550000001</v>
      </c>
      <c r="Q8" s="18">
        <f>'Formato 2'!C13</f>
        <v>0</v>
      </c>
      <c r="R8" s="18">
        <f>'Formato 2'!D13</f>
        <v>3065880.79</v>
      </c>
      <c r="S8" s="18">
        <f>'Formato 2'!E13</f>
        <v>0</v>
      </c>
      <c r="T8" s="18">
        <f>'Formato 2'!F13</f>
        <v>9164760.7600000016</v>
      </c>
      <c r="U8" s="18">
        <f>'Formato 2'!G13</f>
        <v>668690.82999999996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12230641.550000001</v>
      </c>
      <c r="Q9" s="18">
        <f>'Formato 2'!C14</f>
        <v>0</v>
      </c>
      <c r="R9" s="18">
        <f>'Formato 2'!D14</f>
        <v>3065880.79</v>
      </c>
      <c r="S9" s="18">
        <f>'Formato 2'!E14</f>
        <v>0</v>
      </c>
      <c r="T9" s="18">
        <f>'Formato 2'!F14</f>
        <v>9164760.7600000016</v>
      </c>
      <c r="U9" s="18">
        <f>'Formato 2'!G14</f>
        <v>668690.82999999996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12230641.550000001</v>
      </c>
      <c r="Q13" s="18">
        <f>'Formato 2'!C20</f>
        <v>0</v>
      </c>
      <c r="R13" s="18">
        <f>'Formato 2'!D20</f>
        <v>3065880.79</v>
      </c>
      <c r="S13" s="18">
        <f>'Formato 2'!E20</f>
        <v>0</v>
      </c>
      <c r="T13" s="18">
        <f>'Formato 2'!F20</f>
        <v>9164760.7600000016</v>
      </c>
      <c r="U13" s="18">
        <f>'Formato 2'!G20</f>
        <v>668690.82999999996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9" sqref="A9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200" t="s">
        <v>535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111"/>
    </row>
    <row r="2" spans="1:12" x14ac:dyDescent="0.3">
      <c r="A2" s="188" t="str">
        <f>ENTE_PUBLICO_A</f>
        <v>ORGANISMO, Gobierno del Estado de Guanajuato (a)</v>
      </c>
      <c r="B2" s="189"/>
      <c r="C2" s="189"/>
      <c r="D2" s="189"/>
      <c r="E2" s="189"/>
      <c r="F2" s="189"/>
      <c r="G2" s="189"/>
      <c r="H2" s="189"/>
      <c r="I2" s="189"/>
      <c r="J2" s="189"/>
      <c r="K2" s="190"/>
    </row>
    <row r="3" spans="1:12" x14ac:dyDescent="0.3">
      <c r="A3" s="191" t="s">
        <v>146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2" x14ac:dyDescent="0.3">
      <c r="A4" s="194" t="str">
        <f>TRIMESTRE</f>
        <v>Del 1 de enero al 31 de diciembre de 2021 (b)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2" x14ac:dyDescent="0.3">
      <c r="A5" s="191" t="s">
        <v>118</v>
      </c>
      <c r="B5" s="192"/>
      <c r="C5" s="192"/>
      <c r="D5" s="192"/>
      <c r="E5" s="192"/>
      <c r="F5" s="192"/>
      <c r="G5" s="192"/>
      <c r="H5" s="192"/>
      <c r="I5" s="192"/>
      <c r="J5" s="192"/>
      <c r="K5" s="193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2021 (k)</v>
      </c>
      <c r="J6" s="131" t="str">
        <f>MONTO2</f>
        <v>Monto pagado de la inversión actualizado al 31 de diciembre de 2021 (l)</v>
      </c>
      <c r="K6" s="131" t="str">
        <f>SALDO_PENDIENTE</f>
        <v>Saldo pendiente por pagar de la inversión al 31 de diciembre de 2021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x14ac:dyDescent="0.3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x14ac:dyDescent="0.3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x14ac:dyDescent="0.3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x14ac:dyDescent="0.3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3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3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3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3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Hamblet</cp:lastModifiedBy>
  <cp:lastPrinted>2022-02-10T20:11:00Z</cp:lastPrinted>
  <dcterms:created xsi:type="dcterms:W3CDTF">2017-01-19T17:59:06Z</dcterms:created>
  <dcterms:modified xsi:type="dcterms:W3CDTF">2022-02-18T17:26:09Z</dcterms:modified>
</cp:coreProperties>
</file>